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omments3.xml" ContentType="application/vnd.openxmlformats-officedocument.spreadsheetml.comments+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codeName="ThisWorkbook"/>
  <mc:AlternateContent xmlns:mc="http://schemas.openxmlformats.org/markup-compatibility/2006">
    <mc:Choice Requires="x15">
      <x15ac:absPath xmlns:x15ac="http://schemas.microsoft.com/office/spreadsheetml/2010/11/ac" url="C:\Users\achganes\Desktop\"/>
    </mc:Choice>
  </mc:AlternateContent>
  <xr:revisionPtr revIDLastSave="0" documentId="13_ncr:1_{2ECE9A50-7156-417C-9C75-90777986C8B5}" xr6:coauthVersionLast="47" xr6:coauthVersionMax="47" xr10:uidLastSave="{00000000-0000-0000-0000-000000000000}"/>
  <bookViews>
    <workbookView xWindow="-120" yWindow="-120" windowWidth="20730" windowHeight="11160" activeTab="8" xr2:uid="{00000000-000D-0000-FFFF-FFFF00000000}"/>
  </bookViews>
  <sheets>
    <sheet name="2024" sheetId="35" r:id="rId1"/>
    <sheet name="SM" sheetId="38" r:id="rId2"/>
    <sheet name="SLA" sheetId="37" r:id="rId3"/>
    <sheet name="SLA 23" sheetId="31" state="hidden" r:id="rId4"/>
    <sheet name="SM 2023" sheetId="32" state="hidden" r:id="rId5"/>
    <sheet name=" GA Trend" sheetId="34" r:id="rId6"/>
    <sheet name="2023" sheetId="15" state="hidden" r:id="rId7"/>
    <sheet name="AP Charts" sheetId="33" state="hidden" r:id="rId8"/>
    <sheet name="Lot Wash" sheetId="41" r:id="rId9"/>
    <sheet name="Silver Rock" sheetId="40" r:id="rId10"/>
    <sheet name="AP" sheetId="7" r:id="rId11"/>
    <sheet name="RC Audit" sheetId="19" r:id="rId12"/>
    <sheet name="AR" sheetId="27" r:id="rId13"/>
    <sheet name="PR" sheetId="39" r:id="rId14"/>
    <sheet name="Phone Support" sheetId="17" r:id="rId15"/>
    <sheet name="GA" sheetId="45" r:id="rId16"/>
    <sheet name="Cash Balancing" sheetId="13" r:id="rId17"/>
  </sheets>
  <externalReferences>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_xlnm._FilterDatabase" localSheetId="6" hidden="1">'2023'!$A$3:$Q$22</definedName>
    <definedName name="_xlnm._FilterDatabase" localSheetId="0" hidden="1">'2024'!$A$3:$Y$19</definedName>
    <definedName name="_xlnm._FilterDatabase" localSheetId="13" hidden="1">PR!#REF!</definedName>
    <definedName name="_xlnm._FilterDatabase" localSheetId="11" hidden="1">'RC Audit'!#REF!</definedName>
    <definedName name="_xlnm._FilterDatabase" localSheetId="9" hidden="1">'Silver Rock'!$AJ$1:$AP$128</definedName>
    <definedName name="Z_3F28A5ED_D5BC_4F29_97DC_F67D95DA2816_.wvu.Cols" localSheetId="8" hidden="1">'Lot Wash'!$C:$C</definedName>
    <definedName name="Z_5D1A18FF_D2AB_4ADD_96BA_0CC17C30FCC6_.wvu.Cols" localSheetId="8" hidden="1">'Lot Wash'!$C:$C</definedName>
    <definedName name="Z_907219AB_814F_4554_8C51_FA3DC97DEB5E_.wvu.Cols" localSheetId="8" hidden="1">'Lot Wash'!$C:$C</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5" i="34" l="1"/>
  <c r="E55" i="34"/>
  <c r="D55" i="34"/>
  <c r="C55" i="34"/>
  <c r="F54" i="34"/>
  <c r="E54" i="34"/>
  <c r="D54" i="34"/>
  <c r="C54" i="34"/>
  <c r="F53" i="34"/>
  <c r="E53" i="34"/>
  <c r="D53" i="34"/>
  <c r="F52" i="34"/>
  <c r="E52" i="34"/>
  <c r="D52" i="34"/>
  <c r="C38" i="34"/>
  <c r="C52" i="34" s="1"/>
  <c r="E24" i="34"/>
  <c r="C24" i="34"/>
  <c r="C11" i="34"/>
  <c r="C53" i="34" s="1"/>
  <c r="C10" i="34"/>
  <c r="S23" i="37"/>
  <c r="S21" i="37"/>
  <c r="S19" i="37"/>
  <c r="K13" i="38"/>
  <c r="L11" i="38"/>
  <c r="K11" i="38"/>
  <c r="L10" i="38"/>
  <c r="K10" i="38"/>
  <c r="L9" i="38"/>
  <c r="K9" i="38"/>
  <c r="L8" i="38"/>
  <c r="K8" i="38"/>
  <c r="L7" i="38"/>
  <c r="K7" i="38"/>
  <c r="L6" i="38"/>
  <c r="K6" i="38"/>
  <c r="L5" i="38"/>
  <c r="K5" i="38"/>
  <c r="L4" i="38"/>
  <c r="K4" i="38"/>
  <c r="L3" i="38"/>
  <c r="K3" i="38"/>
  <c r="L2" i="38"/>
  <c r="M2" i="38"/>
  <c r="M3" i="38"/>
  <c r="M4" i="38"/>
  <c r="M5" i="38"/>
  <c r="M6" i="38"/>
  <c r="M7" i="38"/>
  <c r="M8" i="38"/>
  <c r="M9" i="38"/>
  <c r="M13" i="38"/>
  <c r="G102" i="45" l="1"/>
  <c r="F102" i="45"/>
  <c r="E102" i="45"/>
  <c r="D102" i="45"/>
  <c r="C102" i="45"/>
  <c r="B102" i="45"/>
  <c r="F95" i="45"/>
  <c r="E95" i="45"/>
  <c r="D95" i="45"/>
  <c r="C95" i="45"/>
  <c r="B95" i="45"/>
  <c r="F89" i="45"/>
  <c r="E89" i="45"/>
  <c r="D89" i="45"/>
  <c r="C89" i="45"/>
  <c r="B89" i="45"/>
  <c r="F83" i="45"/>
  <c r="E83" i="45"/>
  <c r="D83" i="45"/>
  <c r="C83" i="45"/>
  <c r="B83" i="45"/>
  <c r="F79" i="45"/>
  <c r="E79" i="45"/>
  <c r="D79" i="45"/>
  <c r="C79" i="45"/>
  <c r="B79" i="45"/>
  <c r="F71" i="45"/>
  <c r="E71" i="45"/>
  <c r="D71" i="45"/>
  <c r="C71" i="45"/>
  <c r="B71" i="45"/>
  <c r="F63" i="45"/>
  <c r="E63" i="45"/>
  <c r="D63" i="45"/>
  <c r="C63" i="45"/>
  <c r="B63" i="45"/>
  <c r="F54" i="45"/>
  <c r="E54" i="45"/>
  <c r="D54" i="45"/>
  <c r="C54" i="45"/>
  <c r="B54" i="45"/>
  <c r="F48" i="45"/>
  <c r="E48" i="45"/>
  <c r="D48" i="45"/>
  <c r="C48" i="45"/>
  <c r="B48" i="45"/>
  <c r="G37" i="45"/>
  <c r="F37" i="45"/>
  <c r="E37" i="45"/>
  <c r="D37" i="45"/>
  <c r="C37" i="45"/>
  <c r="B37" i="45"/>
  <c r="F22" i="45"/>
  <c r="E22" i="45"/>
  <c r="D22" i="45"/>
  <c r="C22" i="45"/>
  <c r="B22" i="45"/>
  <c r="J10" i="45"/>
  <c r="F6" i="45"/>
  <c r="E6" i="45"/>
  <c r="D6" i="45"/>
  <c r="C6" i="45"/>
  <c r="J9" i="45" s="1"/>
  <c r="B6" i="45"/>
  <c r="J8" i="45" s="1"/>
  <c r="S13" i="37" l="1"/>
  <c r="S15" i="37"/>
  <c r="S17" i="37"/>
  <c r="R18" i="37"/>
  <c r="R17" i="37"/>
  <c r="R16" i="37"/>
  <c r="R15" i="37"/>
  <c r="R14" i="37"/>
  <c r="R13" i="37"/>
  <c r="R12" i="37"/>
  <c r="S9" i="37"/>
  <c r="R10" i="37"/>
  <c r="R9" i="37"/>
  <c r="S7" i="37"/>
  <c r="R8" i="37"/>
  <c r="R7" i="37"/>
  <c r="S5" i="37"/>
  <c r="S3" i="37"/>
  <c r="R6" i="37"/>
  <c r="R5" i="37"/>
  <c r="R4" i="37"/>
  <c r="R3" i="37"/>
  <c r="AA39" i="35"/>
  <c r="AA38" i="35"/>
  <c r="AA37" i="35"/>
  <c r="AA36" i="35"/>
  <c r="AA35" i="35"/>
  <c r="AA34" i="35"/>
  <c r="AD39" i="17"/>
  <c r="AC39" i="17"/>
  <c r="AB39" i="17"/>
  <c r="AA39" i="17"/>
  <c r="Z39" i="17"/>
  <c r="Y39" i="17"/>
  <c r="X39" i="17"/>
  <c r="W39" i="17"/>
  <c r="V39" i="17"/>
  <c r="U39" i="17"/>
  <c r="T39" i="17"/>
  <c r="S39" i="17"/>
  <c r="R39" i="17"/>
  <c r="Q39" i="17"/>
  <c r="P39" i="17"/>
  <c r="O39" i="17"/>
  <c r="N39" i="17"/>
  <c r="M39" i="17"/>
  <c r="L39" i="17"/>
  <c r="K39" i="17"/>
  <c r="J39" i="17"/>
  <c r="I39" i="17"/>
  <c r="H39" i="17"/>
  <c r="G39" i="17"/>
  <c r="F39" i="17"/>
  <c r="E39" i="17"/>
  <c r="D39" i="17"/>
  <c r="C39" i="17"/>
  <c r="AD38" i="17"/>
  <c r="AC38" i="17"/>
  <c r="AB38" i="17"/>
  <c r="AA38" i="17"/>
  <c r="Z38" i="17"/>
  <c r="Y38" i="17"/>
  <c r="X38" i="17"/>
  <c r="W38" i="17"/>
  <c r="V38" i="17"/>
  <c r="U38" i="17"/>
  <c r="T38" i="17"/>
  <c r="S38" i="17"/>
  <c r="R38" i="17"/>
  <c r="Q38" i="17"/>
  <c r="P38" i="17"/>
  <c r="O38" i="17"/>
  <c r="N38" i="17"/>
  <c r="M38" i="17"/>
  <c r="L38" i="17"/>
  <c r="K38" i="17"/>
  <c r="J38" i="17"/>
  <c r="I38" i="17"/>
  <c r="H38" i="17"/>
  <c r="G38" i="17"/>
  <c r="F38" i="17"/>
  <c r="E38" i="17"/>
  <c r="D38" i="17"/>
  <c r="C38" i="17"/>
  <c r="B38" i="17" s="1"/>
  <c r="AD37" i="17"/>
  <c r="AC37" i="17"/>
  <c r="AB37" i="17"/>
  <c r="AA37" i="17"/>
  <c r="Z37" i="17"/>
  <c r="Y37" i="17"/>
  <c r="X37" i="17"/>
  <c r="W37" i="17"/>
  <c r="V37" i="17"/>
  <c r="U37" i="17"/>
  <c r="T37" i="17"/>
  <c r="S37" i="17"/>
  <c r="R37" i="17"/>
  <c r="Q37" i="17"/>
  <c r="P37" i="17"/>
  <c r="O37" i="17"/>
  <c r="N37" i="17"/>
  <c r="M37" i="17"/>
  <c r="L37" i="17"/>
  <c r="K37" i="17"/>
  <c r="J37" i="17"/>
  <c r="I37" i="17"/>
  <c r="H37" i="17"/>
  <c r="G37" i="17"/>
  <c r="F37" i="17"/>
  <c r="E37" i="17"/>
  <c r="D37" i="17"/>
  <c r="C37" i="17"/>
  <c r="AD36" i="17"/>
  <c r="AC36" i="17"/>
  <c r="AB36" i="17"/>
  <c r="AA36" i="17"/>
  <c r="Z36" i="17"/>
  <c r="Y36" i="17"/>
  <c r="X36" i="17"/>
  <c r="W36" i="17"/>
  <c r="V36" i="17"/>
  <c r="U36" i="17"/>
  <c r="T36" i="17"/>
  <c r="S36" i="17"/>
  <c r="R36" i="17"/>
  <c r="Q36" i="17"/>
  <c r="P36" i="17"/>
  <c r="O36" i="17"/>
  <c r="N36" i="17"/>
  <c r="M36" i="17"/>
  <c r="L36" i="17"/>
  <c r="K36" i="17"/>
  <c r="J36" i="17"/>
  <c r="I36" i="17"/>
  <c r="H36" i="17"/>
  <c r="G36" i="17"/>
  <c r="F36" i="17"/>
  <c r="E36" i="17"/>
  <c r="D36" i="17"/>
  <c r="C36" i="17"/>
  <c r="B36" i="17" s="1"/>
  <c r="AD35" i="17"/>
  <c r="AC35" i="17"/>
  <c r="AB35" i="17"/>
  <c r="AA35" i="17"/>
  <c r="Z35" i="17"/>
  <c r="Y35" i="17"/>
  <c r="X35" i="17"/>
  <c r="W35" i="17"/>
  <c r="V35" i="17"/>
  <c r="U35" i="17"/>
  <c r="T35" i="17"/>
  <c r="S35" i="17"/>
  <c r="R35" i="17"/>
  <c r="Q35" i="17"/>
  <c r="P35" i="17"/>
  <c r="O35" i="17"/>
  <c r="N35" i="17"/>
  <c r="M35" i="17"/>
  <c r="L35" i="17"/>
  <c r="K35" i="17"/>
  <c r="J35" i="17"/>
  <c r="I35" i="17"/>
  <c r="H35" i="17"/>
  <c r="G35" i="17"/>
  <c r="F35" i="17"/>
  <c r="E35" i="17"/>
  <c r="D35" i="17"/>
  <c r="C35" i="17"/>
  <c r="AD34" i="17"/>
  <c r="AC34" i="17"/>
  <c r="AB34" i="17"/>
  <c r="AA34" i="17"/>
  <c r="Z34" i="17"/>
  <c r="Y34" i="17"/>
  <c r="X34" i="17"/>
  <c r="W34" i="17"/>
  <c r="V34" i="17"/>
  <c r="U34" i="17"/>
  <c r="T34" i="17"/>
  <c r="S34" i="17"/>
  <c r="R34" i="17"/>
  <c r="Q34" i="17"/>
  <c r="P34" i="17"/>
  <c r="O34" i="17"/>
  <c r="N34" i="17"/>
  <c r="M34" i="17"/>
  <c r="L34" i="17"/>
  <c r="K34" i="17"/>
  <c r="J34" i="17"/>
  <c r="I34" i="17"/>
  <c r="H34" i="17"/>
  <c r="G34" i="17"/>
  <c r="F34" i="17"/>
  <c r="E34" i="17"/>
  <c r="D34" i="17"/>
  <c r="C34" i="17"/>
  <c r="AD33" i="17"/>
  <c r="AC33" i="17"/>
  <c r="AB33" i="17"/>
  <c r="AA33" i="17"/>
  <c r="Z33" i="17"/>
  <c r="Y33" i="17"/>
  <c r="X33" i="17"/>
  <c r="W33" i="17"/>
  <c r="V33" i="17"/>
  <c r="U33" i="17"/>
  <c r="T33" i="17"/>
  <c r="S33" i="17"/>
  <c r="R33" i="17"/>
  <c r="Q33" i="17"/>
  <c r="P33" i="17"/>
  <c r="O33" i="17"/>
  <c r="N33" i="17"/>
  <c r="M33" i="17"/>
  <c r="L33" i="17"/>
  <c r="K33" i="17"/>
  <c r="J33" i="17"/>
  <c r="I33" i="17"/>
  <c r="H33" i="17"/>
  <c r="G33" i="17"/>
  <c r="F33" i="17"/>
  <c r="E33" i="17"/>
  <c r="D33" i="17"/>
  <c r="C33" i="17"/>
  <c r="B33" i="17" s="1"/>
  <c r="AD32" i="17"/>
  <c r="AC32" i="17"/>
  <c r="AB32" i="17"/>
  <c r="AA32" i="17"/>
  <c r="Z32" i="17"/>
  <c r="Y32" i="17"/>
  <c r="X32" i="17"/>
  <c r="W32" i="17"/>
  <c r="V32" i="17"/>
  <c r="U32" i="17"/>
  <c r="T32" i="17"/>
  <c r="S32" i="17"/>
  <c r="R32" i="17"/>
  <c r="Q32" i="17"/>
  <c r="P32" i="17"/>
  <c r="O32" i="17"/>
  <c r="N32" i="17"/>
  <c r="M32" i="17"/>
  <c r="L32" i="17"/>
  <c r="L40" i="17" s="1"/>
  <c r="K32" i="17"/>
  <c r="J32" i="17"/>
  <c r="I32" i="17"/>
  <c r="H32" i="17"/>
  <c r="G32" i="17"/>
  <c r="F32" i="17"/>
  <c r="E32" i="17"/>
  <c r="D32" i="17"/>
  <c r="B32" i="17" s="1"/>
  <c r="AD31" i="17"/>
  <c r="AC31" i="17"/>
  <c r="AB31" i="17"/>
  <c r="AA31" i="17"/>
  <c r="Z31" i="17"/>
  <c r="Z40" i="17" s="1"/>
  <c r="Y31" i="17"/>
  <c r="X31" i="17"/>
  <c r="X40" i="17" s="1"/>
  <c r="W31" i="17"/>
  <c r="V31" i="17"/>
  <c r="V40" i="17" s="1"/>
  <c r="U31" i="17"/>
  <c r="T31" i="17"/>
  <c r="S31" i="17"/>
  <c r="R31" i="17"/>
  <c r="R40" i="17" s="1"/>
  <c r="Q31" i="17"/>
  <c r="P31" i="17"/>
  <c r="P40" i="17" s="1"/>
  <c r="O31" i="17"/>
  <c r="N31" i="17"/>
  <c r="N40" i="17" s="1"/>
  <c r="M31" i="17"/>
  <c r="K31" i="17"/>
  <c r="J31" i="17"/>
  <c r="J40" i="17" s="1"/>
  <c r="I31" i="17"/>
  <c r="H31" i="17"/>
  <c r="H40" i="17" s="1"/>
  <c r="G31" i="17"/>
  <c r="F31" i="17"/>
  <c r="F40" i="17" s="1"/>
  <c r="E31" i="17"/>
  <c r="E40" i="17" s="1"/>
  <c r="D31" i="17"/>
  <c r="C31" i="17"/>
  <c r="B31" i="17" s="1"/>
  <c r="C30" i="17"/>
  <c r="D30" i="17" s="1"/>
  <c r="E30" i="17" s="1"/>
  <c r="F30" i="17" s="1"/>
  <c r="G30" i="17" s="1"/>
  <c r="H30" i="17" s="1"/>
  <c r="I30" i="17" s="1"/>
  <c r="J30" i="17" s="1"/>
  <c r="K30" i="17" s="1"/>
  <c r="L30" i="17" s="1"/>
  <c r="M30" i="17" s="1"/>
  <c r="N30" i="17" s="1"/>
  <c r="O30" i="17" s="1"/>
  <c r="P30" i="17" s="1"/>
  <c r="Q30" i="17" s="1"/>
  <c r="R30" i="17" s="1"/>
  <c r="S30" i="17" s="1"/>
  <c r="T30" i="17" s="1"/>
  <c r="U30" i="17" s="1"/>
  <c r="V30" i="17" s="1"/>
  <c r="W30" i="17" s="1"/>
  <c r="X30" i="17" s="1"/>
  <c r="Y30" i="17" s="1"/>
  <c r="Z30" i="17" s="1"/>
  <c r="AA30" i="17" s="1"/>
  <c r="AB30" i="17" s="1"/>
  <c r="AC30" i="17" s="1"/>
  <c r="AD30" i="17" s="1"/>
  <c r="T27" i="17"/>
  <c r="B26" i="17"/>
  <c r="B25" i="17"/>
  <c r="B24" i="17"/>
  <c r="R11" i="37" s="1"/>
  <c r="S11" i="37" s="1"/>
  <c r="Z23" i="17"/>
  <c r="AD22" i="17"/>
  <c r="AC22" i="17"/>
  <c r="AB22" i="17"/>
  <c r="AA22" i="17"/>
  <c r="Z22" i="17"/>
  <c r="Y22" i="17"/>
  <c r="X22" i="17"/>
  <c r="W22" i="17"/>
  <c r="V22" i="17"/>
  <c r="U22" i="17"/>
  <c r="T22" i="17"/>
  <c r="S22" i="17"/>
  <c r="R22" i="17"/>
  <c r="Q22" i="17"/>
  <c r="P22" i="17"/>
  <c r="O22" i="17"/>
  <c r="N22" i="17"/>
  <c r="M22" i="17"/>
  <c r="L22" i="17"/>
  <c r="K22" i="17"/>
  <c r="J22" i="17"/>
  <c r="I22" i="17"/>
  <c r="H22" i="17"/>
  <c r="G22" i="17"/>
  <c r="F22" i="17"/>
  <c r="E22" i="17"/>
  <c r="D22" i="17"/>
  <c r="C22" i="17"/>
  <c r="AD21" i="17"/>
  <c r="AC21" i="17"/>
  <c r="AB21" i="17"/>
  <c r="AA21" i="17"/>
  <c r="Z21" i="17"/>
  <c r="Y21" i="17"/>
  <c r="X21" i="17"/>
  <c r="W21" i="17"/>
  <c r="V21" i="17"/>
  <c r="U21" i="17"/>
  <c r="T21" i="17"/>
  <c r="S21" i="17"/>
  <c r="R21" i="17"/>
  <c r="Q21" i="17"/>
  <c r="P21" i="17"/>
  <c r="O21" i="17"/>
  <c r="N21" i="17"/>
  <c r="M21" i="17"/>
  <c r="L21" i="17"/>
  <c r="K21" i="17"/>
  <c r="J21" i="17"/>
  <c r="I21" i="17"/>
  <c r="H21" i="17"/>
  <c r="G21" i="17"/>
  <c r="F21" i="17"/>
  <c r="E21" i="17"/>
  <c r="D21" i="17"/>
  <c r="C21" i="17"/>
  <c r="AD20" i="17"/>
  <c r="AD27" i="17" s="1"/>
  <c r="AC20" i="17"/>
  <c r="AC27" i="17" s="1"/>
  <c r="AB20" i="17"/>
  <c r="AA20" i="17"/>
  <c r="AA27" i="17" s="1"/>
  <c r="Z20" i="17"/>
  <c r="Z27" i="17" s="1"/>
  <c r="Y20" i="17"/>
  <c r="Y27" i="17" s="1"/>
  <c r="X20" i="17"/>
  <c r="X27" i="17" s="1"/>
  <c r="W20" i="17"/>
  <c r="W27" i="17" s="1"/>
  <c r="V20" i="17"/>
  <c r="V27" i="17" s="1"/>
  <c r="U20" i="17"/>
  <c r="U27" i="17" s="1"/>
  <c r="T20" i="17"/>
  <c r="S20" i="17"/>
  <c r="S27" i="17" s="1"/>
  <c r="R20" i="17"/>
  <c r="R27" i="17" s="1"/>
  <c r="Q20" i="17"/>
  <c r="Q27" i="17" s="1"/>
  <c r="P20" i="17"/>
  <c r="P27" i="17" s="1"/>
  <c r="O20" i="17"/>
  <c r="O27" i="17" s="1"/>
  <c r="N20" i="17"/>
  <c r="N27" i="17" s="1"/>
  <c r="M20" i="17"/>
  <c r="M27" i="17" s="1"/>
  <c r="L20" i="17"/>
  <c r="L27" i="17" s="1"/>
  <c r="K20" i="17"/>
  <c r="K27" i="17" s="1"/>
  <c r="J20" i="17"/>
  <c r="J27" i="17" s="1"/>
  <c r="I20" i="17"/>
  <c r="I27" i="17" s="1"/>
  <c r="H20" i="17"/>
  <c r="H27" i="17" s="1"/>
  <c r="G20" i="17"/>
  <c r="G27" i="17" s="1"/>
  <c r="F20" i="17"/>
  <c r="F27" i="17" s="1"/>
  <c r="E20" i="17"/>
  <c r="E27" i="17" s="1"/>
  <c r="D20" i="17"/>
  <c r="D27" i="17" s="1"/>
  <c r="C20" i="17"/>
  <c r="C27" i="17" s="1"/>
  <c r="AD19" i="17"/>
  <c r="AC19" i="17"/>
  <c r="AB19" i="17"/>
  <c r="AA19" i="17"/>
  <c r="Z19" i="17"/>
  <c r="Y19" i="17"/>
  <c r="X19" i="17"/>
  <c r="W19" i="17"/>
  <c r="V19" i="17"/>
  <c r="U19" i="17"/>
  <c r="T19" i="17"/>
  <c r="S19" i="17"/>
  <c r="R19" i="17"/>
  <c r="Q19" i="17"/>
  <c r="P19" i="17"/>
  <c r="O19" i="17"/>
  <c r="N19" i="17"/>
  <c r="M19" i="17"/>
  <c r="L19" i="17"/>
  <c r="K19" i="17"/>
  <c r="J19" i="17"/>
  <c r="H19" i="17"/>
  <c r="F19" i="17"/>
  <c r="E19" i="17"/>
  <c r="D19" i="17"/>
  <c r="C19" i="17"/>
  <c r="B19" i="17" s="1"/>
  <c r="AD18" i="17"/>
  <c r="AC18" i="17"/>
  <c r="AB18" i="17"/>
  <c r="AA18" i="17"/>
  <c r="Y18" i="17"/>
  <c r="X18" i="17"/>
  <c r="W18" i="17"/>
  <c r="V18" i="17"/>
  <c r="U18" i="17"/>
  <c r="T18" i="17"/>
  <c r="S18" i="17"/>
  <c r="R18" i="17"/>
  <c r="Q18" i="17"/>
  <c r="P18" i="17"/>
  <c r="O18" i="17"/>
  <c r="N18" i="17"/>
  <c r="M18" i="17"/>
  <c r="L18" i="17"/>
  <c r="K18" i="17"/>
  <c r="J18" i="17"/>
  <c r="H18" i="17"/>
  <c r="G18" i="17"/>
  <c r="F18" i="17"/>
  <c r="E18" i="17"/>
  <c r="D18" i="17"/>
  <c r="C18" i="17"/>
  <c r="B18" i="17" s="1"/>
  <c r="AD17" i="17"/>
  <c r="AD23" i="17" s="1"/>
  <c r="AC17" i="17"/>
  <c r="AC23" i="17" s="1"/>
  <c r="AB17" i="17"/>
  <c r="AB23" i="17" s="1"/>
  <c r="AA17" i="17"/>
  <c r="AA23" i="17" s="1"/>
  <c r="Z17" i="17"/>
  <c r="Y17" i="17"/>
  <c r="X17" i="17"/>
  <c r="X23" i="17" s="1"/>
  <c r="W17" i="17"/>
  <c r="W23" i="17" s="1"/>
  <c r="V17" i="17"/>
  <c r="V23" i="17" s="1"/>
  <c r="U17" i="17"/>
  <c r="U23" i="17" s="1"/>
  <c r="T17" i="17"/>
  <c r="T23" i="17" s="1"/>
  <c r="S17" i="17"/>
  <c r="S23" i="17" s="1"/>
  <c r="R17" i="17"/>
  <c r="R23" i="17" s="1"/>
  <c r="Q17" i="17"/>
  <c r="Q23" i="17" s="1"/>
  <c r="P17" i="17"/>
  <c r="P23" i="17" s="1"/>
  <c r="O17" i="17"/>
  <c r="O23" i="17" s="1"/>
  <c r="N17" i="17"/>
  <c r="N23" i="17" s="1"/>
  <c r="M17" i="17"/>
  <c r="M23" i="17" s="1"/>
  <c r="L17" i="17"/>
  <c r="L23" i="17" s="1"/>
  <c r="K17" i="17"/>
  <c r="K23" i="17" s="1"/>
  <c r="J17" i="17"/>
  <c r="J23" i="17" s="1"/>
  <c r="I17" i="17"/>
  <c r="I23" i="17" s="1"/>
  <c r="H17" i="17"/>
  <c r="H23" i="17" s="1"/>
  <c r="G17" i="17"/>
  <c r="G23" i="17" s="1"/>
  <c r="F17" i="17"/>
  <c r="F23" i="17" s="1"/>
  <c r="E17" i="17"/>
  <c r="E23" i="17" s="1"/>
  <c r="D17" i="17"/>
  <c r="C17" i="17"/>
  <c r="C23" i="17" s="1"/>
  <c r="C16" i="17"/>
  <c r="D16" i="17" s="1"/>
  <c r="E16" i="17" s="1"/>
  <c r="F16" i="17" s="1"/>
  <c r="G16" i="17" s="1"/>
  <c r="H16" i="17" s="1"/>
  <c r="I16" i="17" s="1"/>
  <c r="J16" i="17" s="1"/>
  <c r="K16" i="17" s="1"/>
  <c r="L16" i="17" s="1"/>
  <c r="M16" i="17" s="1"/>
  <c r="N16" i="17" s="1"/>
  <c r="O16" i="17" s="1"/>
  <c r="P16" i="17" s="1"/>
  <c r="Q16" i="17" s="1"/>
  <c r="R16" i="17" s="1"/>
  <c r="S16" i="17" s="1"/>
  <c r="T16" i="17" s="1"/>
  <c r="U16" i="17" s="1"/>
  <c r="V16" i="17" s="1"/>
  <c r="W16" i="17" s="1"/>
  <c r="X16" i="17" s="1"/>
  <c r="Y16" i="17" s="1"/>
  <c r="Z16" i="17" s="1"/>
  <c r="AA16" i="17" s="1"/>
  <c r="AB16" i="17" s="1"/>
  <c r="AC16" i="17" s="1"/>
  <c r="AD16" i="17" s="1"/>
  <c r="AD12" i="17"/>
  <c r="AC12" i="17"/>
  <c r="AB12" i="17"/>
  <c r="AA12" i="17"/>
  <c r="Z12" i="17"/>
  <c r="Y12" i="17"/>
  <c r="X12" i="17"/>
  <c r="W12" i="17"/>
  <c r="V12" i="17"/>
  <c r="U12" i="17"/>
  <c r="T12" i="17"/>
  <c r="S12" i="17"/>
  <c r="R12" i="17"/>
  <c r="Q12" i="17"/>
  <c r="P12" i="17"/>
  <c r="O12" i="17"/>
  <c r="N12" i="17"/>
  <c r="M12" i="17"/>
  <c r="L12" i="17"/>
  <c r="K12" i="17"/>
  <c r="J12" i="17"/>
  <c r="I12" i="17"/>
  <c r="H12" i="17"/>
  <c r="G12" i="17"/>
  <c r="F12" i="17"/>
  <c r="E12" i="17"/>
  <c r="D12" i="17"/>
  <c r="B12" i="17" s="1"/>
  <c r="C12" i="17"/>
  <c r="AD11" i="17"/>
  <c r="AC11" i="17"/>
  <c r="AB11" i="17"/>
  <c r="AA11" i="17"/>
  <c r="Z11" i="17"/>
  <c r="Y11" i="17"/>
  <c r="X11" i="17"/>
  <c r="W11" i="17"/>
  <c r="V11" i="17"/>
  <c r="U11" i="17"/>
  <c r="T11" i="17"/>
  <c r="S11" i="17"/>
  <c r="R11" i="17"/>
  <c r="Q11" i="17"/>
  <c r="P11" i="17"/>
  <c r="O11" i="17"/>
  <c r="N11" i="17"/>
  <c r="M11" i="17"/>
  <c r="L11" i="17"/>
  <c r="K11" i="17"/>
  <c r="J11" i="17"/>
  <c r="I11" i="17"/>
  <c r="H11" i="17"/>
  <c r="G11" i="17"/>
  <c r="F11" i="17"/>
  <c r="E11" i="17"/>
  <c r="D11" i="17"/>
  <c r="C11" i="17"/>
  <c r="AD10" i="17"/>
  <c r="AC10" i="17"/>
  <c r="AB10" i="17"/>
  <c r="AA10" i="17"/>
  <c r="Z10" i="17"/>
  <c r="Y10" i="17"/>
  <c r="X10" i="17"/>
  <c r="W10" i="17"/>
  <c r="V10" i="17"/>
  <c r="U10" i="17"/>
  <c r="T10" i="17"/>
  <c r="S10" i="17"/>
  <c r="R10" i="17"/>
  <c r="Q10" i="17"/>
  <c r="P10" i="17"/>
  <c r="O10" i="17"/>
  <c r="N10" i="17"/>
  <c r="M10" i="17"/>
  <c r="L10" i="17"/>
  <c r="K10" i="17"/>
  <c r="J10" i="17"/>
  <c r="I10" i="17"/>
  <c r="H10" i="17"/>
  <c r="G10" i="17"/>
  <c r="F10" i="17"/>
  <c r="E10" i="17"/>
  <c r="D10" i="17"/>
  <c r="C10" i="17"/>
  <c r="AD9" i="17"/>
  <c r="AC9" i="17"/>
  <c r="AB9" i="17"/>
  <c r="AA9" i="17"/>
  <c r="Z9" i="17"/>
  <c r="Y9" i="17"/>
  <c r="X9" i="17"/>
  <c r="W9" i="17"/>
  <c r="V9" i="17"/>
  <c r="U9" i="17"/>
  <c r="T9" i="17"/>
  <c r="S9" i="17"/>
  <c r="R9" i="17"/>
  <c r="Q9" i="17"/>
  <c r="P9" i="17"/>
  <c r="O9" i="17"/>
  <c r="N9" i="17"/>
  <c r="M9" i="17"/>
  <c r="L9" i="17"/>
  <c r="K9" i="17"/>
  <c r="J9" i="17"/>
  <c r="I9" i="17"/>
  <c r="H9" i="17"/>
  <c r="G9" i="17"/>
  <c r="F9" i="17"/>
  <c r="E9" i="17"/>
  <c r="D9" i="17"/>
  <c r="C9" i="17"/>
  <c r="B9" i="17" s="1"/>
  <c r="AD8" i="17"/>
  <c r="AC8" i="17"/>
  <c r="AB8" i="17"/>
  <c r="AA8" i="17"/>
  <c r="Z8" i="17"/>
  <c r="Y8" i="17"/>
  <c r="X8" i="17"/>
  <c r="W8" i="17"/>
  <c r="V8" i="17"/>
  <c r="U8" i="17"/>
  <c r="T8" i="17"/>
  <c r="S8" i="17"/>
  <c r="R8" i="17"/>
  <c r="Q8" i="17"/>
  <c r="P8" i="17"/>
  <c r="O8" i="17"/>
  <c r="N8" i="17"/>
  <c r="M8" i="17"/>
  <c r="L8" i="17"/>
  <c r="K8" i="17"/>
  <c r="J8" i="17"/>
  <c r="I8" i="17"/>
  <c r="H8" i="17"/>
  <c r="G8" i="17"/>
  <c r="F8" i="17"/>
  <c r="E8" i="17"/>
  <c r="D8" i="17"/>
  <c r="C8"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B7" i="17" s="1"/>
  <c r="AD6" i="17"/>
  <c r="AC6" i="17"/>
  <c r="AB6" i="17"/>
  <c r="AA6" i="17"/>
  <c r="Z6" i="17"/>
  <c r="Y6" i="17"/>
  <c r="X6" i="17"/>
  <c r="W6" i="17"/>
  <c r="V6" i="17"/>
  <c r="U6" i="17"/>
  <c r="T6" i="17"/>
  <c r="S6" i="17"/>
  <c r="R6" i="17"/>
  <c r="Q6" i="17"/>
  <c r="P6" i="17"/>
  <c r="O6" i="17"/>
  <c r="N6" i="17"/>
  <c r="M6" i="17"/>
  <c r="L6" i="17"/>
  <c r="K6" i="17"/>
  <c r="J6" i="17"/>
  <c r="I6" i="17"/>
  <c r="H6" i="17"/>
  <c r="G6" i="17"/>
  <c r="F6" i="17"/>
  <c r="E6" i="17"/>
  <c r="D6" i="17"/>
  <c r="C6" i="17"/>
  <c r="AD5" i="17"/>
  <c r="AC5" i="17"/>
  <c r="AB5" i="17"/>
  <c r="AA5" i="17"/>
  <c r="Z5" i="17"/>
  <c r="Y5" i="17"/>
  <c r="X5" i="17"/>
  <c r="W5" i="17"/>
  <c r="V5" i="17"/>
  <c r="U5" i="17"/>
  <c r="T5" i="17"/>
  <c r="S5" i="17"/>
  <c r="R5" i="17"/>
  <c r="Q5" i="17"/>
  <c r="P5" i="17"/>
  <c r="O5" i="17"/>
  <c r="N5" i="17"/>
  <c r="M5" i="17"/>
  <c r="L5" i="17"/>
  <c r="K5" i="17"/>
  <c r="J5" i="17"/>
  <c r="I5" i="17"/>
  <c r="H5" i="17"/>
  <c r="G5" i="17"/>
  <c r="F5" i="17"/>
  <c r="E5" i="17"/>
  <c r="D5" i="17"/>
  <c r="C5" i="17"/>
  <c r="B5" i="17" s="1"/>
  <c r="AD4" i="17"/>
  <c r="AC4" i="17"/>
  <c r="AB4" i="17"/>
  <c r="AA4" i="17"/>
  <c r="Z4" i="17"/>
  <c r="Y4" i="17"/>
  <c r="X4" i="17"/>
  <c r="W4" i="17"/>
  <c r="V4" i="17"/>
  <c r="U4" i="17"/>
  <c r="T4" i="17"/>
  <c r="S4" i="17"/>
  <c r="R4" i="17"/>
  <c r="Q4" i="17"/>
  <c r="P4" i="17"/>
  <c r="O4" i="17"/>
  <c r="N4" i="17"/>
  <c r="M4" i="17"/>
  <c r="L4" i="17"/>
  <c r="K4" i="17"/>
  <c r="J4" i="17"/>
  <c r="I4" i="17"/>
  <c r="H4" i="17"/>
  <c r="G4" i="17"/>
  <c r="F4" i="17"/>
  <c r="E4" i="17"/>
  <c r="D4" i="17"/>
  <c r="C4" i="17"/>
  <c r="B4" i="17" s="1"/>
  <c r="AD3" i="17"/>
  <c r="AC3" i="17"/>
  <c r="AB3" i="17"/>
  <c r="AB13" i="17" s="1"/>
  <c r="AA3" i="17"/>
  <c r="Z3" i="17"/>
  <c r="Y3" i="17"/>
  <c r="X3" i="17"/>
  <c r="W3" i="17"/>
  <c r="V3" i="17"/>
  <c r="U3" i="17"/>
  <c r="T3" i="17"/>
  <c r="T13" i="17" s="1"/>
  <c r="S3" i="17"/>
  <c r="R3" i="17"/>
  <c r="Q3" i="17"/>
  <c r="P3" i="17"/>
  <c r="O3" i="17"/>
  <c r="N3" i="17"/>
  <c r="N13" i="17" s="1"/>
  <c r="M3" i="17"/>
  <c r="L3" i="17"/>
  <c r="L13" i="17" s="1"/>
  <c r="K3" i="17"/>
  <c r="J3" i="17"/>
  <c r="J13" i="17" s="1"/>
  <c r="I3" i="17"/>
  <c r="H3" i="17"/>
  <c r="H13" i="17" s="1"/>
  <c r="G3" i="17"/>
  <c r="F3" i="17"/>
  <c r="F13" i="17" s="1"/>
  <c r="E3" i="17"/>
  <c r="D3" i="17"/>
  <c r="D13" i="17" s="1"/>
  <c r="C3" i="17"/>
  <c r="D2" i="17"/>
  <c r="E2" i="17" s="1"/>
  <c r="F2" i="17" s="1"/>
  <c r="G2" i="17" s="1"/>
  <c r="H2" i="17" s="1"/>
  <c r="I2" i="17" s="1"/>
  <c r="J2" i="17" s="1"/>
  <c r="K2" i="17" s="1"/>
  <c r="L2" i="17" s="1"/>
  <c r="M2" i="17" s="1"/>
  <c r="N2" i="17" s="1"/>
  <c r="O2" i="17" s="1"/>
  <c r="P2" i="17" s="1"/>
  <c r="Q2" i="17" s="1"/>
  <c r="R2" i="17" s="1"/>
  <c r="S2" i="17" s="1"/>
  <c r="T2" i="17" s="1"/>
  <c r="U2" i="17" s="1"/>
  <c r="V2" i="17" s="1"/>
  <c r="W2" i="17" s="1"/>
  <c r="X2" i="17" s="1"/>
  <c r="Y2" i="17" s="1"/>
  <c r="Z2" i="17" s="1"/>
  <c r="AA2" i="17" s="1"/>
  <c r="AB2" i="17" s="1"/>
  <c r="AC2" i="17" s="1"/>
  <c r="AD2" i="17" s="1"/>
  <c r="C2" i="17"/>
  <c r="D53" i="17"/>
  <c r="C53" i="17"/>
  <c r="B53" i="17"/>
  <c r="D52" i="17"/>
  <c r="C52" i="17"/>
  <c r="B52" i="17"/>
  <c r="L51" i="17"/>
  <c r="K51" i="17"/>
  <c r="J51" i="17"/>
  <c r="I51" i="17"/>
  <c r="H51" i="17"/>
  <c r="G51" i="17"/>
  <c r="F51" i="17"/>
  <c r="E51" i="17"/>
  <c r="C51" i="17"/>
  <c r="B51" i="17"/>
  <c r="D50" i="17"/>
  <c r="C50" i="17"/>
  <c r="B50" i="17"/>
  <c r="N50" i="17" s="1"/>
  <c r="N49" i="17"/>
  <c r="L49" i="17"/>
  <c r="L54" i="17" s="1"/>
  <c r="K49" i="17"/>
  <c r="K54" i="17" s="1"/>
  <c r="J49" i="17"/>
  <c r="I49" i="17"/>
  <c r="I54" i="17" s="1"/>
  <c r="H49" i="17"/>
  <c r="H54" i="17" s="1"/>
  <c r="G49" i="17"/>
  <c r="F49" i="17"/>
  <c r="E49" i="17"/>
  <c r="E54" i="17" s="1"/>
  <c r="C49" i="17"/>
  <c r="B49" i="17"/>
  <c r="B6" i="17" l="1"/>
  <c r="B35" i="17"/>
  <c r="G54" i="17"/>
  <c r="V13" i="17"/>
  <c r="AD13" i="17"/>
  <c r="E13" i="17"/>
  <c r="M13" i="17"/>
  <c r="U13" i="17"/>
  <c r="AC13" i="17"/>
  <c r="B34" i="17"/>
  <c r="B11" i="17"/>
  <c r="D54" i="17"/>
  <c r="M53" i="17"/>
  <c r="G13" i="17"/>
  <c r="O13" i="17"/>
  <c r="W13" i="17"/>
  <c r="B17" i="17"/>
  <c r="G40" i="17"/>
  <c r="O40" i="17"/>
  <c r="W40" i="17"/>
  <c r="P13" i="17"/>
  <c r="X13" i="17"/>
  <c r="B10" i="17"/>
  <c r="S40" i="17"/>
  <c r="AA40" i="17"/>
  <c r="B37" i="17"/>
  <c r="Y23" i="17"/>
  <c r="F54" i="17"/>
  <c r="J54" i="17"/>
  <c r="I13" i="17"/>
  <c r="Q13" i="17"/>
  <c r="Y13" i="17"/>
  <c r="C40" i="17"/>
  <c r="K40" i="17"/>
  <c r="T40" i="17"/>
  <c r="AB40" i="17"/>
  <c r="I40" i="17"/>
  <c r="Q40" i="17"/>
  <c r="Y40" i="17"/>
  <c r="B39" i="17"/>
  <c r="B40" i="17" s="1"/>
  <c r="M51" i="17"/>
  <c r="N51" i="17"/>
  <c r="R13" i="17"/>
  <c r="Z13" i="17"/>
  <c r="B21" i="17"/>
  <c r="D40" i="17"/>
  <c r="M40" i="17"/>
  <c r="U40" i="17"/>
  <c r="AC40" i="17"/>
  <c r="M49" i="17"/>
  <c r="C54" i="17"/>
  <c r="N52" i="17"/>
  <c r="C13" i="17"/>
  <c r="K13" i="17"/>
  <c r="S13" i="17"/>
  <c r="AA13" i="17"/>
  <c r="B8" i="17"/>
  <c r="AD40" i="17"/>
  <c r="B20" i="17"/>
  <c r="B3" i="17"/>
  <c r="B13" i="17" s="1"/>
  <c r="D23" i="17"/>
  <c r="N53" i="17"/>
  <c r="M50" i="17"/>
  <c r="B54" i="17"/>
  <c r="N54" i="17" s="1"/>
  <c r="M52" i="17"/>
  <c r="M54" i="17" l="1"/>
  <c r="B27" i="17"/>
  <c r="B23" i="17"/>
  <c r="B22" i="17"/>
  <c r="AA43" i="35" l="1"/>
  <c r="AA44" i="35"/>
  <c r="Z44" i="35"/>
  <c r="AA30" i="35" l="1"/>
  <c r="AA29" i="35"/>
  <c r="AA28" i="35"/>
  <c r="AA27" i="35"/>
  <c r="AA26" i="35"/>
  <c r="AA25" i="35"/>
  <c r="AA24" i="35"/>
  <c r="AA23" i="35"/>
  <c r="G14" i="39"/>
  <c r="F14" i="39"/>
  <c r="E14" i="39"/>
  <c r="A6" i="39"/>
  <c r="H14" i="39" l="1"/>
  <c r="D14" i="39"/>
  <c r="AA19" i="35" l="1"/>
  <c r="AA18" i="35"/>
  <c r="AA17" i="35"/>
  <c r="AA16" i="35"/>
  <c r="AA15" i="35"/>
  <c r="AA14" i="35"/>
  <c r="AA13" i="35"/>
  <c r="O15" i="27"/>
  <c r="N15" i="27"/>
  <c r="M15" i="27"/>
  <c r="L15" i="27"/>
  <c r="K15" i="27"/>
  <c r="J15" i="27"/>
  <c r="I15" i="27"/>
  <c r="H15" i="27"/>
  <c r="P15" i="27" s="1"/>
  <c r="G15" i="27"/>
  <c r="F15" i="27"/>
  <c r="E15" i="27"/>
  <c r="Q15" i="27" s="1"/>
  <c r="D15" i="27"/>
  <c r="C15" i="27"/>
  <c r="O14" i="27"/>
  <c r="N14" i="27"/>
  <c r="M14" i="27"/>
  <c r="L14" i="27"/>
  <c r="K14" i="27"/>
  <c r="J14" i="27"/>
  <c r="I14" i="27"/>
  <c r="H14" i="27"/>
  <c r="G14" i="27"/>
  <c r="F14" i="27"/>
  <c r="E14" i="27"/>
  <c r="D14" i="27"/>
  <c r="Q14" i="27" s="1"/>
  <c r="C14" i="27"/>
  <c r="O13" i="27"/>
  <c r="N13" i="27"/>
  <c r="M13" i="27"/>
  <c r="L13" i="27"/>
  <c r="K13" i="27"/>
  <c r="J13" i="27"/>
  <c r="I13" i="27"/>
  <c r="H13" i="27"/>
  <c r="G13" i="27"/>
  <c r="F13" i="27"/>
  <c r="E13" i="27"/>
  <c r="D13" i="27"/>
  <c r="C13" i="27"/>
  <c r="Q13" i="27" s="1"/>
  <c r="O12" i="27"/>
  <c r="N12" i="27"/>
  <c r="M12" i="27"/>
  <c r="L12" i="27"/>
  <c r="K12" i="27"/>
  <c r="J12" i="27"/>
  <c r="I12" i="27"/>
  <c r="H12" i="27"/>
  <c r="G12" i="27"/>
  <c r="F12" i="27"/>
  <c r="E12" i="27"/>
  <c r="P12" i="27" s="1"/>
  <c r="D12" i="27"/>
  <c r="C12" i="27"/>
  <c r="Q12" i="27" s="1"/>
  <c r="O11" i="27"/>
  <c r="N11" i="27"/>
  <c r="M11" i="27"/>
  <c r="L11" i="27"/>
  <c r="K11" i="27"/>
  <c r="J11" i="27"/>
  <c r="I11" i="27"/>
  <c r="H11" i="27"/>
  <c r="G11" i="27"/>
  <c r="F11" i="27"/>
  <c r="E11" i="27"/>
  <c r="D11" i="27"/>
  <c r="Q11" i="27" s="1"/>
  <c r="C11" i="27"/>
  <c r="P11" i="27" s="1"/>
  <c r="O10" i="27"/>
  <c r="N10" i="27"/>
  <c r="M10" i="27"/>
  <c r="L10" i="27"/>
  <c r="K10" i="27"/>
  <c r="J10" i="27"/>
  <c r="I10" i="27"/>
  <c r="H10" i="27"/>
  <c r="G10" i="27"/>
  <c r="F10" i="27"/>
  <c r="E10" i="27"/>
  <c r="D10" i="27"/>
  <c r="C10" i="27"/>
  <c r="P10" i="27" s="1"/>
  <c r="O9" i="27"/>
  <c r="N9" i="27"/>
  <c r="M9" i="27"/>
  <c r="L9" i="27"/>
  <c r="K9" i="27"/>
  <c r="J9" i="27"/>
  <c r="J16" i="27" s="1"/>
  <c r="I9" i="27"/>
  <c r="H9" i="27"/>
  <c r="G9" i="27"/>
  <c r="F9" i="27"/>
  <c r="E9" i="27"/>
  <c r="D9" i="27"/>
  <c r="C9" i="27"/>
  <c r="Q9" i="27" s="1"/>
  <c r="Q8" i="27"/>
  <c r="O8" i="27"/>
  <c r="N8" i="27"/>
  <c r="M8" i="27"/>
  <c r="L8" i="27"/>
  <c r="K8" i="27"/>
  <c r="J8" i="27"/>
  <c r="I8" i="27"/>
  <c r="H8" i="27"/>
  <c r="G8" i="27"/>
  <c r="F8" i="27"/>
  <c r="E8" i="27"/>
  <c r="D8" i="27"/>
  <c r="C8" i="27"/>
  <c r="P8" i="27" s="1"/>
  <c r="O7" i="27"/>
  <c r="N7" i="27"/>
  <c r="M7" i="27"/>
  <c r="L7" i="27"/>
  <c r="K7" i="27"/>
  <c r="J7" i="27"/>
  <c r="I7" i="27"/>
  <c r="H7" i="27"/>
  <c r="P7" i="27" s="1"/>
  <c r="G7" i="27"/>
  <c r="F7" i="27"/>
  <c r="E7" i="27"/>
  <c r="Q7" i="27" s="1"/>
  <c r="D7" i="27"/>
  <c r="C7" i="27"/>
  <c r="O6" i="27"/>
  <c r="N6" i="27"/>
  <c r="M6" i="27"/>
  <c r="L6" i="27"/>
  <c r="K6" i="27"/>
  <c r="J6" i="27"/>
  <c r="I6" i="27"/>
  <c r="H6" i="27"/>
  <c r="G6" i="27"/>
  <c r="P6" i="27" s="1"/>
  <c r="F6" i="27"/>
  <c r="E6" i="27"/>
  <c r="D6" i="27"/>
  <c r="Q6" i="27" s="1"/>
  <c r="C6" i="27"/>
  <c r="O5" i="27"/>
  <c r="O17" i="27" s="1"/>
  <c r="N5" i="27"/>
  <c r="N17" i="27" s="1"/>
  <c r="M5" i="27"/>
  <c r="M16" i="27" s="1"/>
  <c r="L5" i="27"/>
  <c r="L16" i="27" s="1"/>
  <c r="L17" i="27" s="1"/>
  <c r="K5" i="27"/>
  <c r="K16" i="27" s="1"/>
  <c r="J5" i="27"/>
  <c r="I5" i="27"/>
  <c r="I16" i="27" s="1"/>
  <c r="H5" i="27"/>
  <c r="H16" i="27" s="1"/>
  <c r="H17" i="27" s="1"/>
  <c r="G5" i="27"/>
  <c r="G16" i="27" s="1"/>
  <c r="F5" i="27"/>
  <c r="F16" i="27" s="1"/>
  <c r="E5" i="27"/>
  <c r="E16" i="27" s="1"/>
  <c r="D5" i="27"/>
  <c r="D16" i="27" s="1"/>
  <c r="D17" i="27" s="1"/>
  <c r="C5" i="27"/>
  <c r="P5" i="27" s="1"/>
  <c r="A3" i="27"/>
  <c r="F17" i="27" l="1"/>
  <c r="J17" i="27"/>
  <c r="P9" i="27"/>
  <c r="Q10" i="27"/>
  <c r="C17" i="27"/>
  <c r="Q16" i="27" s="1"/>
  <c r="P14" i="27"/>
  <c r="P13" i="27"/>
  <c r="P16" i="27" s="1"/>
  <c r="Q5" i="27"/>
  <c r="AA7" i="35" l="1"/>
  <c r="AA9" i="35"/>
  <c r="AA6" i="35" l="1"/>
  <c r="AA5" i="35"/>
  <c r="AA4" i="35"/>
  <c r="B45" i="7"/>
  <c r="AA47" i="35" l="1"/>
  <c r="J128" i="40"/>
  <c r="J127" i="40"/>
  <c r="J123" i="40"/>
  <c r="J124" i="40" s="1"/>
  <c r="J125" i="40" s="1"/>
  <c r="I149" i="40"/>
  <c r="H149" i="40"/>
  <c r="G149" i="40"/>
  <c r="F149" i="40"/>
  <c r="E149" i="40"/>
  <c r="D149" i="40"/>
  <c r="C149" i="40"/>
  <c r="B149" i="40"/>
  <c r="A149" i="40"/>
  <c r="J122" i="40"/>
  <c r="J121" i="40"/>
  <c r="AF13" i="40" l="1"/>
  <c r="AB13" i="40"/>
  <c r="AA13" i="40"/>
  <c r="Z13" i="40"/>
  <c r="Y13" i="40"/>
  <c r="X13" i="40"/>
  <c r="W13" i="40"/>
  <c r="V13" i="40"/>
  <c r="U13" i="40"/>
  <c r="T13" i="40"/>
  <c r="S13" i="40"/>
  <c r="R13" i="40"/>
  <c r="Q13" i="40"/>
  <c r="O13" i="40"/>
  <c r="N13" i="40"/>
  <c r="M13" i="40"/>
  <c r="L13" i="40"/>
  <c r="K13" i="40"/>
  <c r="J13" i="40"/>
  <c r="I13" i="40"/>
  <c r="H13" i="40"/>
  <c r="G13" i="40"/>
  <c r="F13" i="40"/>
  <c r="E13" i="40"/>
  <c r="D13" i="40"/>
  <c r="C13" i="40"/>
  <c r="B13" i="40"/>
  <c r="AD12" i="40"/>
  <c r="AC12" i="40"/>
  <c r="AE12" i="40" s="1"/>
  <c r="AG11" i="40"/>
  <c r="AD11" i="40"/>
  <c r="AE11" i="40" s="1"/>
  <c r="AC11" i="40"/>
  <c r="AD10" i="40"/>
  <c r="AC10" i="40"/>
  <c r="AG9" i="40"/>
  <c r="AD9" i="40"/>
  <c r="AC9" i="40"/>
  <c r="AE9" i="40" s="1"/>
  <c r="AD8" i="40"/>
  <c r="AC8" i="40"/>
  <c r="AG7" i="40"/>
  <c r="AD7" i="40"/>
  <c r="AC7" i="40"/>
  <c r="AE7" i="40" s="1"/>
  <c r="AD6" i="40"/>
  <c r="AC6" i="40"/>
  <c r="AE6" i="40" s="1"/>
  <c r="AD5" i="40"/>
  <c r="AC5" i="40"/>
  <c r="AD4" i="40"/>
  <c r="AC4" i="40"/>
  <c r="AE4" i="40" s="1"/>
  <c r="AG3" i="40"/>
  <c r="AD3" i="40"/>
  <c r="AC3" i="40"/>
  <c r="D1" i="40"/>
  <c r="E1" i="40" s="1"/>
  <c r="F1" i="40" s="1"/>
  <c r="G1" i="40" s="1"/>
  <c r="H1" i="40" s="1"/>
  <c r="I1" i="40" s="1"/>
  <c r="J1" i="40" s="1"/>
  <c r="K1" i="40" s="1"/>
  <c r="L1" i="40" s="1"/>
  <c r="M1" i="40" s="1"/>
  <c r="N1" i="40" s="1"/>
  <c r="O1" i="40" s="1"/>
  <c r="P1" i="40" s="1"/>
  <c r="Q1" i="40" s="1"/>
  <c r="R1" i="40" s="1"/>
  <c r="S1" i="40" s="1"/>
  <c r="T1" i="40" s="1"/>
  <c r="U1" i="40" s="1"/>
  <c r="V1" i="40" s="1"/>
  <c r="W1" i="40" s="1"/>
  <c r="X1" i="40" s="1"/>
  <c r="Y1" i="40" s="1"/>
  <c r="Z1" i="40" s="1"/>
  <c r="AA1" i="40" s="1"/>
  <c r="AB1" i="40" s="1"/>
  <c r="C1" i="40"/>
  <c r="AE10" i="40" l="1"/>
  <c r="AE5" i="40"/>
  <c r="AG5" i="40"/>
  <c r="AC13" i="40"/>
  <c r="AG13" i="40" s="1"/>
  <c r="AE8" i="40"/>
  <c r="AD13" i="40"/>
  <c r="AG4" i="40"/>
  <c r="AG6" i="40"/>
  <c r="AG8" i="40"/>
  <c r="AG10" i="40"/>
  <c r="AG12" i="40"/>
  <c r="AE3" i="40"/>
  <c r="AE13" i="40" l="1"/>
  <c r="AA8" i="35"/>
  <c r="Z7" i="35"/>
  <c r="AD70" i="41"/>
  <c r="Z70" i="41"/>
  <c r="V70" i="41"/>
  <c r="R70" i="41"/>
  <c r="N70" i="41"/>
  <c r="J70" i="41"/>
  <c r="F70" i="41"/>
  <c r="F71" i="41" s="1"/>
  <c r="AD69" i="41"/>
  <c r="AG68" i="41"/>
  <c r="AG71" i="41" s="1"/>
  <c r="AD68" i="41"/>
  <c r="AC68" i="41"/>
  <c r="Y68" i="41"/>
  <c r="V68" i="41"/>
  <c r="V71" i="41" s="1"/>
  <c r="U68" i="41"/>
  <c r="R68" i="41"/>
  <c r="R71" i="41" s="1"/>
  <c r="Q68" i="41"/>
  <c r="Q71" i="41" s="1"/>
  <c r="N68" i="41"/>
  <c r="N71" i="41" s="1"/>
  <c r="M68" i="41"/>
  <c r="I68" i="41"/>
  <c r="F68" i="41"/>
  <c r="E68" i="41"/>
  <c r="F67" i="41"/>
  <c r="G67" i="41" s="1"/>
  <c r="H67" i="41" s="1"/>
  <c r="I67" i="41" s="1"/>
  <c r="J67" i="41" s="1"/>
  <c r="K67" i="41" s="1"/>
  <c r="L67" i="41" s="1"/>
  <c r="M67" i="41" s="1"/>
  <c r="N67" i="41" s="1"/>
  <c r="O67" i="41" s="1"/>
  <c r="P67" i="41" s="1"/>
  <c r="Q67" i="41" s="1"/>
  <c r="R67" i="41" s="1"/>
  <c r="S67" i="41" s="1"/>
  <c r="T67" i="41" s="1"/>
  <c r="U67" i="41" s="1"/>
  <c r="V67" i="41" s="1"/>
  <c r="W67" i="41" s="1"/>
  <c r="X67" i="41" s="1"/>
  <c r="Y67" i="41" s="1"/>
  <c r="Z67" i="41" s="1"/>
  <c r="AA67" i="41" s="1"/>
  <c r="AB67" i="41" s="1"/>
  <c r="AC67" i="41" s="1"/>
  <c r="AD67" i="41" s="1"/>
  <c r="AE67" i="41" s="1"/>
  <c r="AF67" i="41" s="1"/>
  <c r="AG67" i="41" s="1"/>
  <c r="E67" i="41"/>
  <c r="D67" i="41"/>
  <c r="C67" i="41"/>
  <c r="AG65" i="41"/>
  <c r="AG70" i="41" s="1"/>
  <c r="AF65" i="41"/>
  <c r="AF70" i="41" s="1"/>
  <c r="AE65" i="41"/>
  <c r="AE70" i="41" s="1"/>
  <c r="AD65" i="41"/>
  <c r="AC65" i="41"/>
  <c r="AC70" i="41" s="1"/>
  <c r="AB65" i="41"/>
  <c r="AB70" i="41" s="1"/>
  <c r="AA65" i="41"/>
  <c r="AA70" i="41" s="1"/>
  <c r="Z65" i="41"/>
  <c r="Y65" i="41"/>
  <c r="Y70" i="41" s="1"/>
  <c r="X65" i="41"/>
  <c r="X70" i="41" s="1"/>
  <c r="W65" i="41"/>
  <c r="W70" i="41" s="1"/>
  <c r="V65" i="41"/>
  <c r="U65" i="41"/>
  <c r="U70" i="41" s="1"/>
  <c r="T65" i="41"/>
  <c r="T70" i="41" s="1"/>
  <c r="S65" i="41"/>
  <c r="S70" i="41" s="1"/>
  <c r="R65" i="41"/>
  <c r="Q65" i="41"/>
  <c r="Q70" i="41" s="1"/>
  <c r="P65" i="41"/>
  <c r="P70" i="41" s="1"/>
  <c r="O65" i="41"/>
  <c r="O70" i="41" s="1"/>
  <c r="N65" i="41"/>
  <c r="M65" i="41"/>
  <c r="M70" i="41" s="1"/>
  <c r="L65" i="41"/>
  <c r="L70" i="41" s="1"/>
  <c r="K65" i="41"/>
  <c r="K70" i="41" s="1"/>
  <c r="J65" i="41"/>
  <c r="I65" i="41"/>
  <c r="I70" i="41" s="1"/>
  <c r="H65" i="41"/>
  <c r="H70" i="41" s="1"/>
  <c r="G65" i="41"/>
  <c r="G70" i="41" s="1"/>
  <c r="F65" i="41"/>
  <c r="E65" i="41"/>
  <c r="E70" i="41" s="1"/>
  <c r="D65" i="41"/>
  <c r="D70" i="41" s="1"/>
  <c r="C65" i="41"/>
  <c r="C70" i="41" s="1"/>
  <c r="B70" i="41" s="1"/>
  <c r="B64" i="41"/>
  <c r="B63" i="41"/>
  <c r="B65" i="41" s="1"/>
  <c r="C62" i="41"/>
  <c r="D62" i="41" s="1"/>
  <c r="E62" i="41" s="1"/>
  <c r="F62" i="41" s="1"/>
  <c r="G62" i="41" s="1"/>
  <c r="H62" i="41" s="1"/>
  <c r="I62" i="41" s="1"/>
  <c r="J62" i="41" s="1"/>
  <c r="K62" i="41" s="1"/>
  <c r="L62" i="41" s="1"/>
  <c r="M62" i="41" s="1"/>
  <c r="N62" i="41" s="1"/>
  <c r="O62" i="41" s="1"/>
  <c r="P62" i="41" s="1"/>
  <c r="Q62" i="41" s="1"/>
  <c r="R62" i="41" s="1"/>
  <c r="S62" i="41" s="1"/>
  <c r="T62" i="41" s="1"/>
  <c r="U62" i="41" s="1"/>
  <c r="V62" i="41" s="1"/>
  <c r="W62" i="41" s="1"/>
  <c r="X62" i="41" s="1"/>
  <c r="Y62" i="41" s="1"/>
  <c r="Z62" i="41" s="1"/>
  <c r="AA62" i="41" s="1"/>
  <c r="AB62" i="41" s="1"/>
  <c r="AC62" i="41" s="1"/>
  <c r="AD62" i="41" s="1"/>
  <c r="AE62" i="41" s="1"/>
  <c r="AF62" i="41" s="1"/>
  <c r="AG62" i="41" s="1"/>
  <c r="AG60" i="41"/>
  <c r="AG69" i="41" s="1"/>
  <c r="AF60" i="41"/>
  <c r="AF69" i="41" s="1"/>
  <c r="AE60" i="41"/>
  <c r="AE69" i="41" s="1"/>
  <c r="AD60" i="41"/>
  <c r="AC60" i="41"/>
  <c r="AC69" i="41" s="1"/>
  <c r="AB60" i="41"/>
  <c r="AB69" i="41" s="1"/>
  <c r="AA60" i="41"/>
  <c r="AA69" i="41" s="1"/>
  <c r="Z60" i="41"/>
  <c r="Z69" i="41" s="1"/>
  <c r="Y60" i="41"/>
  <c r="Y69" i="41" s="1"/>
  <c r="X60" i="41"/>
  <c r="X69" i="41" s="1"/>
  <c r="W60" i="41"/>
  <c r="W69" i="41" s="1"/>
  <c r="V60" i="41"/>
  <c r="V69" i="41" s="1"/>
  <c r="U60" i="41"/>
  <c r="U69" i="41" s="1"/>
  <c r="T60" i="41"/>
  <c r="T69" i="41" s="1"/>
  <c r="S60" i="41"/>
  <c r="S69" i="41" s="1"/>
  <c r="R60" i="41"/>
  <c r="R69" i="41" s="1"/>
  <c r="Q60" i="41"/>
  <c r="Q69" i="41" s="1"/>
  <c r="P60" i="41"/>
  <c r="P69" i="41" s="1"/>
  <c r="O60" i="41"/>
  <c r="O69" i="41" s="1"/>
  <c r="N60" i="41"/>
  <c r="N69" i="41" s="1"/>
  <c r="M60" i="41"/>
  <c r="M69" i="41" s="1"/>
  <c r="L60" i="41"/>
  <c r="L69" i="41" s="1"/>
  <c r="K60" i="41"/>
  <c r="K69" i="41" s="1"/>
  <c r="J60" i="41"/>
  <c r="J69" i="41" s="1"/>
  <c r="I60" i="41"/>
  <c r="I69" i="41" s="1"/>
  <c r="H60" i="41"/>
  <c r="H69" i="41" s="1"/>
  <c r="G60" i="41"/>
  <c r="G69" i="41" s="1"/>
  <c r="F60" i="41"/>
  <c r="F69" i="41" s="1"/>
  <c r="E60" i="41"/>
  <c r="E69" i="41" s="1"/>
  <c r="D60" i="41"/>
  <c r="D69" i="41" s="1"/>
  <c r="C60" i="41"/>
  <c r="C69" i="41" s="1"/>
  <c r="B59" i="41"/>
  <c r="B58" i="41"/>
  <c r="B60" i="41" s="1"/>
  <c r="B57" i="41"/>
  <c r="Q56" i="41"/>
  <c r="R56" i="41" s="1"/>
  <c r="S56" i="41" s="1"/>
  <c r="T56" i="41" s="1"/>
  <c r="U56" i="41" s="1"/>
  <c r="V56" i="41" s="1"/>
  <c r="W56" i="41" s="1"/>
  <c r="X56" i="41" s="1"/>
  <c r="Y56" i="41" s="1"/>
  <c r="Z56" i="41" s="1"/>
  <c r="AA56" i="41" s="1"/>
  <c r="AB56" i="41" s="1"/>
  <c r="AC56" i="41" s="1"/>
  <c r="AD56" i="41" s="1"/>
  <c r="AE56" i="41" s="1"/>
  <c r="AF56" i="41" s="1"/>
  <c r="AG56" i="41" s="1"/>
  <c r="E56" i="41"/>
  <c r="F56" i="41" s="1"/>
  <c r="G56" i="41" s="1"/>
  <c r="H56" i="41" s="1"/>
  <c r="I56" i="41" s="1"/>
  <c r="J56" i="41" s="1"/>
  <c r="K56" i="41" s="1"/>
  <c r="L56" i="41" s="1"/>
  <c r="M56" i="41" s="1"/>
  <c r="N56" i="41" s="1"/>
  <c r="O56" i="41" s="1"/>
  <c r="P56" i="41" s="1"/>
  <c r="C56" i="41"/>
  <c r="D56" i="41" s="1"/>
  <c r="AG54" i="41"/>
  <c r="AF54" i="41"/>
  <c r="AF68" i="41" s="1"/>
  <c r="AF71" i="41" s="1"/>
  <c r="AE54" i="41"/>
  <c r="AE68" i="41" s="1"/>
  <c r="AE71" i="41" s="1"/>
  <c r="AD54" i="41"/>
  <c r="AC54" i="41"/>
  <c r="AB54" i="41"/>
  <c r="AB68" i="41" s="1"/>
  <c r="AA54" i="41"/>
  <c r="AA68" i="41" s="1"/>
  <c r="Z54" i="41"/>
  <c r="Z68" i="41" s="1"/>
  <c r="Z71" i="41" s="1"/>
  <c r="Y54" i="41"/>
  <c r="X54" i="41"/>
  <c r="X68" i="41" s="1"/>
  <c r="X71" i="41" s="1"/>
  <c r="W54" i="41"/>
  <c r="W68" i="41" s="1"/>
  <c r="W71" i="41" s="1"/>
  <c r="V54" i="41"/>
  <c r="U54" i="41"/>
  <c r="T54" i="41"/>
  <c r="T68" i="41" s="1"/>
  <c r="S54" i="41"/>
  <c r="S68" i="41" s="1"/>
  <c r="R54" i="41"/>
  <c r="Q54" i="41"/>
  <c r="P54" i="41"/>
  <c r="P68" i="41" s="1"/>
  <c r="P71" i="41" s="1"/>
  <c r="O54" i="41"/>
  <c r="O68" i="41" s="1"/>
  <c r="O71" i="41" s="1"/>
  <c r="N54" i="41"/>
  <c r="M54" i="41"/>
  <c r="L54" i="41"/>
  <c r="L68" i="41" s="1"/>
  <c r="K54" i="41"/>
  <c r="K68" i="41" s="1"/>
  <c r="J54" i="41"/>
  <c r="J68" i="41" s="1"/>
  <c r="J71" i="41" s="1"/>
  <c r="I54" i="41"/>
  <c r="H54" i="41"/>
  <c r="H68" i="41" s="1"/>
  <c r="H71" i="41" s="1"/>
  <c r="G54" i="41"/>
  <c r="G68" i="41" s="1"/>
  <c r="F54" i="41"/>
  <c r="E54" i="41"/>
  <c r="D54" i="41"/>
  <c r="D68" i="41" s="1"/>
  <c r="C54" i="41"/>
  <c r="C68" i="41" s="1"/>
  <c r="B53" i="41"/>
  <c r="B52" i="41"/>
  <c r="B54" i="41" s="1"/>
  <c r="R51" i="41"/>
  <c r="S51" i="41" s="1"/>
  <c r="T51" i="41" s="1"/>
  <c r="U51" i="41" s="1"/>
  <c r="V51" i="41" s="1"/>
  <c r="W51" i="41" s="1"/>
  <c r="X51" i="41" s="1"/>
  <c r="Y51" i="41" s="1"/>
  <c r="Z51" i="41" s="1"/>
  <c r="AA51" i="41" s="1"/>
  <c r="AB51" i="41" s="1"/>
  <c r="AC51" i="41" s="1"/>
  <c r="AD51" i="41" s="1"/>
  <c r="AE51" i="41" s="1"/>
  <c r="AF51" i="41" s="1"/>
  <c r="AG51" i="41" s="1"/>
  <c r="E51" i="41"/>
  <c r="F51" i="41" s="1"/>
  <c r="G51" i="41" s="1"/>
  <c r="H51" i="41" s="1"/>
  <c r="I51" i="41" s="1"/>
  <c r="J51" i="41" s="1"/>
  <c r="K51" i="41" s="1"/>
  <c r="L51" i="41" s="1"/>
  <c r="M51" i="41" s="1"/>
  <c r="N51" i="41" s="1"/>
  <c r="O51" i="41" s="1"/>
  <c r="P51" i="41" s="1"/>
  <c r="Q51" i="41" s="1"/>
  <c r="D51" i="41"/>
  <c r="C51" i="41"/>
  <c r="AG46" i="41"/>
  <c r="AF46" i="41"/>
  <c r="AC46" i="41"/>
  <c r="Y46" i="41"/>
  <c r="U46" i="41"/>
  <c r="T46" i="41"/>
  <c r="S46" i="41"/>
  <c r="Q46" i="41"/>
  <c r="M46" i="41"/>
  <c r="L46" i="41"/>
  <c r="I46" i="41"/>
  <c r="H46" i="41"/>
  <c r="G46" i="41"/>
  <c r="E46" i="41"/>
  <c r="AC45" i="41"/>
  <c r="AB45" i="41"/>
  <c r="S45" i="41"/>
  <c r="Q45" i="41"/>
  <c r="AC44" i="41"/>
  <c r="AC47" i="41" s="1"/>
  <c r="AB44" i="41"/>
  <c r="AB47" i="41" s="1"/>
  <c r="S44" i="41"/>
  <c r="S47" i="41" s="1"/>
  <c r="Q44" i="41"/>
  <c r="Q47" i="41" s="1"/>
  <c r="G43" i="41"/>
  <c r="H43" i="41" s="1"/>
  <c r="I43" i="41" s="1"/>
  <c r="J43" i="41" s="1"/>
  <c r="K43" i="41" s="1"/>
  <c r="L43" i="41" s="1"/>
  <c r="M43" i="41" s="1"/>
  <c r="N43" i="41" s="1"/>
  <c r="O43" i="41" s="1"/>
  <c r="P43" i="41" s="1"/>
  <c r="Q43" i="41" s="1"/>
  <c r="R43" i="41" s="1"/>
  <c r="S43" i="41" s="1"/>
  <c r="T43" i="41" s="1"/>
  <c r="U43" i="41" s="1"/>
  <c r="V43" i="41" s="1"/>
  <c r="W43" i="41" s="1"/>
  <c r="X43" i="41" s="1"/>
  <c r="Y43" i="41" s="1"/>
  <c r="Z43" i="41" s="1"/>
  <c r="AA43" i="41" s="1"/>
  <c r="AB43" i="41" s="1"/>
  <c r="AC43" i="41" s="1"/>
  <c r="AD43" i="41" s="1"/>
  <c r="AE43" i="41" s="1"/>
  <c r="AF43" i="41" s="1"/>
  <c r="AG43" i="41" s="1"/>
  <c r="C43" i="41"/>
  <c r="D43" i="41" s="1"/>
  <c r="E43" i="41" s="1"/>
  <c r="F43" i="41" s="1"/>
  <c r="AG41" i="41"/>
  <c r="AF41" i="41"/>
  <c r="AE41" i="41"/>
  <c r="AE46" i="41" s="1"/>
  <c r="AD41" i="41"/>
  <c r="AD46" i="41" s="1"/>
  <c r="AC41" i="41"/>
  <c r="AB41" i="41"/>
  <c r="AB46" i="41" s="1"/>
  <c r="AA41" i="41"/>
  <c r="AA46" i="41" s="1"/>
  <c r="Z41" i="41"/>
  <c r="Z46" i="41" s="1"/>
  <c r="Y41" i="41"/>
  <c r="X41" i="41"/>
  <c r="X46" i="41" s="1"/>
  <c r="W41" i="41"/>
  <c r="W46" i="41" s="1"/>
  <c r="V41" i="41"/>
  <c r="V46" i="41" s="1"/>
  <c r="U41" i="41"/>
  <c r="T41" i="41"/>
  <c r="S41" i="41"/>
  <c r="R41" i="41"/>
  <c r="R46" i="41" s="1"/>
  <c r="Q41" i="41"/>
  <c r="P41" i="41"/>
  <c r="P46" i="41" s="1"/>
  <c r="O41" i="41"/>
  <c r="O46" i="41" s="1"/>
  <c r="N41" i="41"/>
  <c r="N46" i="41" s="1"/>
  <c r="M41" i="41"/>
  <c r="L41" i="41"/>
  <c r="K41" i="41"/>
  <c r="K46" i="41" s="1"/>
  <c r="J41" i="41"/>
  <c r="J46" i="41" s="1"/>
  <c r="I41" i="41"/>
  <c r="H41" i="41"/>
  <c r="G41" i="41"/>
  <c r="F41" i="41"/>
  <c r="F46" i="41" s="1"/>
  <c r="E41" i="41"/>
  <c r="D41" i="41"/>
  <c r="D46" i="41" s="1"/>
  <c r="C41" i="41"/>
  <c r="C46" i="41" s="1"/>
  <c r="B41" i="41"/>
  <c r="B40" i="41"/>
  <c r="B39" i="41"/>
  <c r="D38" i="41"/>
  <c r="E38" i="41" s="1"/>
  <c r="F38" i="41" s="1"/>
  <c r="G38" i="41" s="1"/>
  <c r="H38" i="41" s="1"/>
  <c r="I38" i="41" s="1"/>
  <c r="J38" i="41" s="1"/>
  <c r="K38" i="41" s="1"/>
  <c r="L38" i="41" s="1"/>
  <c r="M38" i="41" s="1"/>
  <c r="N38" i="41" s="1"/>
  <c r="O38" i="41" s="1"/>
  <c r="P38" i="41" s="1"/>
  <c r="Q38" i="41" s="1"/>
  <c r="R38" i="41" s="1"/>
  <c r="S38" i="41" s="1"/>
  <c r="T38" i="41" s="1"/>
  <c r="U38" i="41" s="1"/>
  <c r="V38" i="41" s="1"/>
  <c r="W38" i="41" s="1"/>
  <c r="X38" i="41" s="1"/>
  <c r="Y38" i="41" s="1"/>
  <c r="Z38" i="41" s="1"/>
  <c r="AA38" i="41" s="1"/>
  <c r="AB38" i="41" s="1"/>
  <c r="AC38" i="41" s="1"/>
  <c r="AD38" i="41" s="1"/>
  <c r="AE38" i="41" s="1"/>
  <c r="AF38" i="41" s="1"/>
  <c r="AG38" i="41" s="1"/>
  <c r="C38" i="41"/>
  <c r="AG36" i="41"/>
  <c r="AG45" i="41" s="1"/>
  <c r="AF36" i="41"/>
  <c r="AF45" i="41" s="1"/>
  <c r="AE36" i="41"/>
  <c r="AE45" i="41" s="1"/>
  <c r="AD36" i="41"/>
  <c r="AD45" i="41" s="1"/>
  <c r="AC36" i="41"/>
  <c r="AB36" i="41"/>
  <c r="AA36" i="41"/>
  <c r="AA45" i="41" s="1"/>
  <c r="Z36" i="41"/>
  <c r="Z45" i="41" s="1"/>
  <c r="Y36" i="41"/>
  <c r="Y45" i="41" s="1"/>
  <c r="X36" i="41"/>
  <c r="X45" i="41" s="1"/>
  <c r="W36" i="41"/>
  <c r="W45" i="41" s="1"/>
  <c r="V36" i="41"/>
  <c r="V45" i="41" s="1"/>
  <c r="U36" i="41"/>
  <c r="U45" i="41" s="1"/>
  <c r="T36" i="41"/>
  <c r="T45" i="41" s="1"/>
  <c r="S36" i="41"/>
  <c r="R36" i="41"/>
  <c r="R45" i="41" s="1"/>
  <c r="Q36" i="41"/>
  <c r="P36" i="41"/>
  <c r="P45" i="41" s="1"/>
  <c r="O36" i="41"/>
  <c r="O45" i="41" s="1"/>
  <c r="N36" i="41"/>
  <c r="N45" i="41" s="1"/>
  <c r="M36" i="41"/>
  <c r="M45" i="41" s="1"/>
  <c r="L36" i="41"/>
  <c r="L45" i="41" s="1"/>
  <c r="K36" i="41"/>
  <c r="K45" i="41" s="1"/>
  <c r="J36" i="41"/>
  <c r="J45" i="41" s="1"/>
  <c r="I36" i="41"/>
  <c r="I45" i="41" s="1"/>
  <c r="H36" i="41"/>
  <c r="H45" i="41" s="1"/>
  <c r="G36" i="41"/>
  <c r="G45" i="41" s="1"/>
  <c r="F36" i="41"/>
  <c r="F45" i="41" s="1"/>
  <c r="E36" i="41"/>
  <c r="E45" i="41" s="1"/>
  <c r="D36" i="41"/>
  <c r="D45" i="41" s="1"/>
  <c r="C36" i="41"/>
  <c r="C45" i="41" s="1"/>
  <c r="B35" i="41"/>
  <c r="B36" i="41" s="1"/>
  <c r="I34" i="41"/>
  <c r="J34" i="41" s="1"/>
  <c r="K34" i="41" s="1"/>
  <c r="L34" i="41" s="1"/>
  <c r="M34" i="41" s="1"/>
  <c r="N34" i="41" s="1"/>
  <c r="O34" i="41" s="1"/>
  <c r="P34" i="41" s="1"/>
  <c r="Q34" i="41" s="1"/>
  <c r="R34" i="41" s="1"/>
  <c r="S34" i="41" s="1"/>
  <c r="T34" i="41" s="1"/>
  <c r="U34" i="41" s="1"/>
  <c r="V34" i="41" s="1"/>
  <c r="W34" i="41" s="1"/>
  <c r="X34" i="41" s="1"/>
  <c r="Y34" i="41" s="1"/>
  <c r="Z34" i="41" s="1"/>
  <c r="AA34" i="41" s="1"/>
  <c r="AB34" i="41" s="1"/>
  <c r="AC34" i="41" s="1"/>
  <c r="AD34" i="41" s="1"/>
  <c r="AE34" i="41" s="1"/>
  <c r="AF34" i="41" s="1"/>
  <c r="AG34" i="41" s="1"/>
  <c r="D34" i="41"/>
  <c r="E34" i="41" s="1"/>
  <c r="F34" i="41" s="1"/>
  <c r="G34" i="41" s="1"/>
  <c r="H34" i="41" s="1"/>
  <c r="C34" i="41"/>
  <c r="AG32" i="41"/>
  <c r="AG44" i="41" s="1"/>
  <c r="AG47" i="41" s="1"/>
  <c r="AF32" i="41"/>
  <c r="AF44" i="41" s="1"/>
  <c r="AF47" i="41" s="1"/>
  <c r="AE32" i="41"/>
  <c r="AE44" i="41" s="1"/>
  <c r="AE47" i="41" s="1"/>
  <c r="AD32" i="41"/>
  <c r="AD44" i="41" s="1"/>
  <c r="AC32" i="41"/>
  <c r="AB32" i="41"/>
  <c r="AA32" i="41"/>
  <c r="AA44" i="41" s="1"/>
  <c r="Z32" i="41"/>
  <c r="Z44" i="41" s="1"/>
  <c r="Z47" i="41" s="1"/>
  <c r="Y32" i="41"/>
  <c r="Y44" i="41" s="1"/>
  <c r="Y47" i="41" s="1"/>
  <c r="X32" i="41"/>
  <c r="X44" i="41" s="1"/>
  <c r="W32" i="41"/>
  <c r="W44" i="41" s="1"/>
  <c r="W47" i="41" s="1"/>
  <c r="V32" i="41"/>
  <c r="V44" i="41" s="1"/>
  <c r="U32" i="41"/>
  <c r="U44" i="41" s="1"/>
  <c r="U47" i="41" s="1"/>
  <c r="T32" i="41"/>
  <c r="T44" i="41" s="1"/>
  <c r="T47" i="41" s="1"/>
  <c r="S32" i="41"/>
  <c r="R32" i="41"/>
  <c r="R44" i="41" s="1"/>
  <c r="R47" i="41" s="1"/>
  <c r="Q32" i="41"/>
  <c r="P32" i="41"/>
  <c r="P44" i="41" s="1"/>
  <c r="O32" i="41"/>
  <c r="O44" i="41" s="1"/>
  <c r="O47" i="41" s="1"/>
  <c r="N32" i="41"/>
  <c r="N44" i="41" s="1"/>
  <c r="M32" i="41"/>
  <c r="M44" i="41" s="1"/>
  <c r="M47" i="41" s="1"/>
  <c r="L32" i="41"/>
  <c r="L44" i="41" s="1"/>
  <c r="L47" i="41" s="1"/>
  <c r="K32" i="41"/>
  <c r="K44" i="41" s="1"/>
  <c r="J32" i="41"/>
  <c r="J44" i="41" s="1"/>
  <c r="J47" i="41" s="1"/>
  <c r="I32" i="41"/>
  <c r="I44" i="41" s="1"/>
  <c r="I47" i="41" s="1"/>
  <c r="H32" i="41"/>
  <c r="H44" i="41" s="1"/>
  <c r="H47" i="41" s="1"/>
  <c r="G32" i="41"/>
  <c r="G44" i="41" s="1"/>
  <c r="G47" i="41" s="1"/>
  <c r="F32" i="41"/>
  <c r="F44" i="41" s="1"/>
  <c r="E32" i="41"/>
  <c r="E44" i="41" s="1"/>
  <c r="E47" i="41" s="1"/>
  <c r="D32" i="41"/>
  <c r="D44" i="41" s="1"/>
  <c r="D47" i="41" s="1"/>
  <c r="C32" i="41"/>
  <c r="C44" i="41" s="1"/>
  <c r="B31" i="41"/>
  <c r="B30" i="41"/>
  <c r="B32" i="41" s="1"/>
  <c r="C29" i="41"/>
  <c r="D29" i="41" s="1"/>
  <c r="E29" i="41" s="1"/>
  <c r="F29" i="41" s="1"/>
  <c r="G29" i="41" s="1"/>
  <c r="H29" i="41" s="1"/>
  <c r="I29" i="41" s="1"/>
  <c r="J29" i="41" s="1"/>
  <c r="K29" i="41" s="1"/>
  <c r="L29" i="41" s="1"/>
  <c r="M29" i="41" s="1"/>
  <c r="N29" i="41" s="1"/>
  <c r="O29" i="41" s="1"/>
  <c r="P29" i="41" s="1"/>
  <c r="Q29" i="41" s="1"/>
  <c r="R29" i="41" s="1"/>
  <c r="S29" i="41" s="1"/>
  <c r="T29" i="41" s="1"/>
  <c r="U29" i="41" s="1"/>
  <c r="V29" i="41" s="1"/>
  <c r="W29" i="41" s="1"/>
  <c r="X29" i="41" s="1"/>
  <c r="Y29" i="41" s="1"/>
  <c r="Z29" i="41" s="1"/>
  <c r="AA29" i="41" s="1"/>
  <c r="AB29" i="41" s="1"/>
  <c r="AC29" i="41" s="1"/>
  <c r="AD29" i="41" s="1"/>
  <c r="AE29" i="41" s="1"/>
  <c r="AF29" i="41" s="1"/>
  <c r="AG29" i="41" s="1"/>
  <c r="AF22" i="41"/>
  <c r="D22" i="41"/>
  <c r="AA21" i="41"/>
  <c r="N20" i="41"/>
  <c r="M20" i="41"/>
  <c r="C19" i="41"/>
  <c r="D19" i="41" s="1"/>
  <c r="E19" i="41" s="1"/>
  <c r="F19" i="41" s="1"/>
  <c r="G19" i="41" s="1"/>
  <c r="H19" i="41" s="1"/>
  <c r="I19" i="41" s="1"/>
  <c r="J19" i="41" s="1"/>
  <c r="K19" i="41" s="1"/>
  <c r="L19" i="41" s="1"/>
  <c r="M19" i="41" s="1"/>
  <c r="N19" i="41" s="1"/>
  <c r="O19" i="41" s="1"/>
  <c r="P19" i="41" s="1"/>
  <c r="Q19" i="41" s="1"/>
  <c r="R19" i="41" s="1"/>
  <c r="S19" i="41" s="1"/>
  <c r="T19" i="41" s="1"/>
  <c r="U19" i="41" s="1"/>
  <c r="V19" i="41" s="1"/>
  <c r="W19" i="41" s="1"/>
  <c r="X19" i="41" s="1"/>
  <c r="Y19" i="41" s="1"/>
  <c r="Z19" i="41" s="1"/>
  <c r="AA19" i="41" s="1"/>
  <c r="AB19" i="41" s="1"/>
  <c r="AC19" i="41" s="1"/>
  <c r="AD19" i="41" s="1"/>
  <c r="AE19" i="41" s="1"/>
  <c r="AF19" i="41" s="1"/>
  <c r="AG19" i="41" s="1"/>
  <c r="AF17" i="41"/>
  <c r="AE17" i="41"/>
  <c r="AE22" i="41" s="1"/>
  <c r="N17" i="41"/>
  <c r="N22" i="41" s="1"/>
  <c r="F17" i="41"/>
  <c r="F22" i="41" s="1"/>
  <c r="AG16" i="41"/>
  <c r="AF16" i="41"/>
  <c r="AE16" i="41"/>
  <c r="AD16" i="41"/>
  <c r="AC16" i="41"/>
  <c r="AB16" i="41"/>
  <c r="AA16" i="41"/>
  <c r="Z16" i="41"/>
  <c r="Y16" i="41"/>
  <c r="X16" i="41"/>
  <c r="W16" i="41"/>
  <c r="V16" i="41"/>
  <c r="V17" i="41" s="1"/>
  <c r="V22" i="41" s="1"/>
  <c r="U16" i="41"/>
  <c r="T16" i="41"/>
  <c r="S16" i="41"/>
  <c r="R16" i="41"/>
  <c r="Q16" i="41"/>
  <c r="P16" i="41"/>
  <c r="O16" i="41"/>
  <c r="N16" i="41"/>
  <c r="M16" i="41"/>
  <c r="L16" i="41"/>
  <c r="K16" i="41"/>
  <c r="J16" i="41"/>
  <c r="I16" i="41"/>
  <c r="H16" i="41"/>
  <c r="G16" i="41"/>
  <c r="F16" i="41"/>
  <c r="E16" i="41"/>
  <c r="D16" i="41"/>
  <c r="C16" i="41"/>
  <c r="B16" i="41" s="1"/>
  <c r="AG15" i="41"/>
  <c r="AG17" i="41" s="1"/>
  <c r="AG22" i="41" s="1"/>
  <c r="AF15" i="41"/>
  <c r="AE15" i="41"/>
  <c r="AD15" i="41"/>
  <c r="AC15" i="41"/>
  <c r="AC17" i="41" s="1"/>
  <c r="AC22" i="41" s="1"/>
  <c r="AB15" i="41"/>
  <c r="AB17" i="41" s="1"/>
  <c r="AB22" i="41" s="1"/>
  <c r="AA15" i="41"/>
  <c r="AA17" i="41" s="1"/>
  <c r="AA22" i="41" s="1"/>
  <c r="Z15" i="41"/>
  <c r="Z17" i="41" s="1"/>
  <c r="Z22" i="41" s="1"/>
  <c r="Y15" i="41"/>
  <c r="Y17" i="41" s="1"/>
  <c r="Y22" i="41" s="1"/>
  <c r="X15" i="41"/>
  <c r="X17" i="41" s="1"/>
  <c r="X22" i="41" s="1"/>
  <c r="W15" i="41"/>
  <c r="W17" i="41" s="1"/>
  <c r="W22" i="41" s="1"/>
  <c r="V15" i="41"/>
  <c r="U15" i="41"/>
  <c r="U17" i="41" s="1"/>
  <c r="U22" i="41" s="1"/>
  <c r="T15" i="41"/>
  <c r="T17" i="41" s="1"/>
  <c r="T22" i="41" s="1"/>
  <c r="S15" i="41"/>
  <c r="S17" i="41" s="1"/>
  <c r="S22" i="41" s="1"/>
  <c r="R15" i="41"/>
  <c r="R17" i="41" s="1"/>
  <c r="R22" i="41" s="1"/>
  <c r="Q15" i="41"/>
  <c r="Q17" i="41" s="1"/>
  <c r="Q22" i="41" s="1"/>
  <c r="P15" i="41"/>
  <c r="P17" i="41" s="1"/>
  <c r="P22" i="41" s="1"/>
  <c r="O15" i="41"/>
  <c r="O17" i="41" s="1"/>
  <c r="O22" i="41" s="1"/>
  <c r="N15" i="41"/>
  <c r="M15" i="41"/>
  <c r="M17" i="41" s="1"/>
  <c r="M22" i="41" s="1"/>
  <c r="L15" i="41"/>
  <c r="L17" i="41" s="1"/>
  <c r="L22" i="41" s="1"/>
  <c r="K15" i="41"/>
  <c r="K17" i="41" s="1"/>
  <c r="K22" i="41" s="1"/>
  <c r="J15" i="41"/>
  <c r="J17" i="41" s="1"/>
  <c r="J22" i="41" s="1"/>
  <c r="I15" i="41"/>
  <c r="I17" i="41" s="1"/>
  <c r="I22" i="41" s="1"/>
  <c r="H15" i="41"/>
  <c r="H17" i="41" s="1"/>
  <c r="H22" i="41" s="1"/>
  <c r="G15" i="41"/>
  <c r="G17" i="41" s="1"/>
  <c r="G22" i="41" s="1"/>
  <c r="F15" i="41"/>
  <c r="E15" i="41"/>
  <c r="E17" i="41" s="1"/>
  <c r="E22" i="41" s="1"/>
  <c r="D15" i="41"/>
  <c r="D17" i="41" s="1"/>
  <c r="C15" i="41"/>
  <c r="C17" i="41" s="1"/>
  <c r="C22" i="41" s="1"/>
  <c r="C14" i="41"/>
  <c r="D14" i="41" s="1"/>
  <c r="E14" i="41" s="1"/>
  <c r="F14" i="41" s="1"/>
  <c r="G14" i="41" s="1"/>
  <c r="H14" i="41" s="1"/>
  <c r="I14" i="41" s="1"/>
  <c r="J14" i="41" s="1"/>
  <c r="K14" i="41" s="1"/>
  <c r="L14" i="41" s="1"/>
  <c r="M14" i="41" s="1"/>
  <c r="N14" i="41" s="1"/>
  <c r="O14" i="41" s="1"/>
  <c r="P14" i="41" s="1"/>
  <c r="Q14" i="41" s="1"/>
  <c r="R14" i="41" s="1"/>
  <c r="S14" i="41" s="1"/>
  <c r="T14" i="41" s="1"/>
  <c r="U14" i="41" s="1"/>
  <c r="V14" i="41" s="1"/>
  <c r="W14" i="41" s="1"/>
  <c r="X14" i="41" s="1"/>
  <c r="Y14" i="41" s="1"/>
  <c r="Z14" i="41" s="1"/>
  <c r="AA14" i="41" s="1"/>
  <c r="AB14" i="41" s="1"/>
  <c r="AC14" i="41" s="1"/>
  <c r="AD14" i="41" s="1"/>
  <c r="AE14" i="41" s="1"/>
  <c r="AF14" i="41" s="1"/>
  <c r="AG14" i="41" s="1"/>
  <c r="U12" i="41"/>
  <c r="U21" i="41" s="1"/>
  <c r="E12" i="41"/>
  <c r="E21" i="41" s="1"/>
  <c r="AG11" i="41"/>
  <c r="AG12" i="41" s="1"/>
  <c r="AG21" i="41" s="1"/>
  <c r="AF11" i="41"/>
  <c r="AF12" i="41" s="1"/>
  <c r="AF21" i="41" s="1"/>
  <c r="AE11" i="41"/>
  <c r="AE12" i="41" s="1"/>
  <c r="AE21" i="41" s="1"/>
  <c r="AD11" i="41"/>
  <c r="AD12" i="41" s="1"/>
  <c r="AD21" i="41" s="1"/>
  <c r="AC11" i="41"/>
  <c r="AC12" i="41" s="1"/>
  <c r="AC21" i="41" s="1"/>
  <c r="AB11" i="41"/>
  <c r="AB12" i="41" s="1"/>
  <c r="AB21" i="41" s="1"/>
  <c r="AA11" i="41"/>
  <c r="AA12" i="41" s="1"/>
  <c r="Z11" i="41"/>
  <c r="Z12" i="41" s="1"/>
  <c r="Z21" i="41" s="1"/>
  <c r="Y11" i="41"/>
  <c r="Y12" i="41" s="1"/>
  <c r="Y21" i="41" s="1"/>
  <c r="X11" i="41"/>
  <c r="X12" i="41" s="1"/>
  <c r="X21" i="41" s="1"/>
  <c r="W11" i="41"/>
  <c r="W12" i="41" s="1"/>
  <c r="W21" i="41" s="1"/>
  <c r="V11" i="41"/>
  <c r="V12" i="41" s="1"/>
  <c r="V21" i="41" s="1"/>
  <c r="U11" i="41"/>
  <c r="T11" i="41"/>
  <c r="T12" i="41" s="1"/>
  <c r="T21" i="41" s="1"/>
  <c r="S11" i="41"/>
  <c r="S12" i="41" s="1"/>
  <c r="S21" i="41" s="1"/>
  <c r="R11" i="41"/>
  <c r="R12" i="41" s="1"/>
  <c r="R21" i="41" s="1"/>
  <c r="Q11" i="41"/>
  <c r="Q12" i="41" s="1"/>
  <c r="Q21" i="41" s="1"/>
  <c r="P11" i="41"/>
  <c r="P12" i="41" s="1"/>
  <c r="P21" i="41" s="1"/>
  <c r="O11" i="41"/>
  <c r="O12" i="41" s="1"/>
  <c r="O21" i="41" s="1"/>
  <c r="N11" i="41"/>
  <c r="N12" i="41" s="1"/>
  <c r="N21" i="41" s="1"/>
  <c r="M11" i="41"/>
  <c r="M12" i="41" s="1"/>
  <c r="M21" i="41" s="1"/>
  <c r="L11" i="41"/>
  <c r="L12" i="41" s="1"/>
  <c r="L21" i="41" s="1"/>
  <c r="K11" i="41"/>
  <c r="K12" i="41" s="1"/>
  <c r="K21" i="41" s="1"/>
  <c r="J11" i="41"/>
  <c r="J12" i="41" s="1"/>
  <c r="J21" i="41" s="1"/>
  <c r="I11" i="41"/>
  <c r="I12" i="41" s="1"/>
  <c r="I21" i="41" s="1"/>
  <c r="H11" i="41"/>
  <c r="H12" i="41" s="1"/>
  <c r="H21" i="41" s="1"/>
  <c r="G11" i="41"/>
  <c r="G12" i="41" s="1"/>
  <c r="G21" i="41" s="1"/>
  <c r="F11" i="41"/>
  <c r="F12" i="41" s="1"/>
  <c r="F21" i="41" s="1"/>
  <c r="E11" i="41"/>
  <c r="B11" i="41" s="1"/>
  <c r="B12" i="41" s="1"/>
  <c r="D11" i="41"/>
  <c r="D12" i="41" s="1"/>
  <c r="D21" i="41" s="1"/>
  <c r="C11" i="41"/>
  <c r="C12" i="41" s="1"/>
  <c r="C21" i="41" s="1"/>
  <c r="C10" i="41"/>
  <c r="D10" i="41" s="1"/>
  <c r="E10" i="41" s="1"/>
  <c r="F10" i="41" s="1"/>
  <c r="G10" i="41" s="1"/>
  <c r="H10" i="41" s="1"/>
  <c r="I10" i="41" s="1"/>
  <c r="J10" i="41" s="1"/>
  <c r="K10" i="41" s="1"/>
  <c r="L10" i="41" s="1"/>
  <c r="M10" i="41" s="1"/>
  <c r="N10" i="41" s="1"/>
  <c r="O10" i="41" s="1"/>
  <c r="P10" i="41" s="1"/>
  <c r="Q10" i="41" s="1"/>
  <c r="R10" i="41" s="1"/>
  <c r="S10" i="41" s="1"/>
  <c r="T10" i="41" s="1"/>
  <c r="U10" i="41" s="1"/>
  <c r="V10" i="41" s="1"/>
  <c r="W10" i="41" s="1"/>
  <c r="X10" i="41" s="1"/>
  <c r="Y10" i="41" s="1"/>
  <c r="Z10" i="41" s="1"/>
  <c r="AA10" i="41" s="1"/>
  <c r="AB10" i="41" s="1"/>
  <c r="AC10" i="41" s="1"/>
  <c r="AD10" i="41" s="1"/>
  <c r="AE10" i="41" s="1"/>
  <c r="AF10" i="41" s="1"/>
  <c r="AG10" i="41" s="1"/>
  <c r="AB8" i="41"/>
  <c r="AB20" i="41" s="1"/>
  <c r="Y8" i="41"/>
  <c r="Y20" i="41" s="1"/>
  <c r="W8" i="41"/>
  <c r="W20" i="41" s="1"/>
  <c r="U8" i="41"/>
  <c r="U20" i="41" s="1"/>
  <c r="U23" i="41" s="1"/>
  <c r="T8" i="41"/>
  <c r="T20" i="41" s="1"/>
  <c r="T23" i="41" s="1"/>
  <c r="P8" i="41"/>
  <c r="P20" i="41" s="1"/>
  <c r="P23" i="41" s="1"/>
  <c r="O8" i="41"/>
  <c r="O20" i="41" s="1"/>
  <c r="N8" i="41"/>
  <c r="M8" i="41"/>
  <c r="L8" i="41"/>
  <c r="L20" i="41" s="1"/>
  <c r="L23" i="41" s="1"/>
  <c r="I8" i="41"/>
  <c r="I20" i="41" s="1"/>
  <c r="I23" i="41" s="1"/>
  <c r="H8" i="41"/>
  <c r="H20" i="41" s="1"/>
  <c r="H23" i="41" s="1"/>
  <c r="G8" i="41"/>
  <c r="G20" i="41" s="1"/>
  <c r="E8" i="41"/>
  <c r="E20" i="41" s="1"/>
  <c r="AG7" i="41"/>
  <c r="AG8" i="41" s="1"/>
  <c r="AG20" i="41" s="1"/>
  <c r="AF7" i="41"/>
  <c r="AE7" i="41"/>
  <c r="AE8" i="41" s="1"/>
  <c r="AE20" i="41" s="1"/>
  <c r="AE23" i="41" s="1"/>
  <c r="AD7" i="41"/>
  <c r="AC7" i="41"/>
  <c r="AC8" i="41" s="1"/>
  <c r="AC20" i="41" s="1"/>
  <c r="AC23" i="41" s="1"/>
  <c r="AA7" i="41"/>
  <c r="Z7" i="41"/>
  <c r="Y7" i="41"/>
  <c r="X7" i="41"/>
  <c r="X8" i="41" s="1"/>
  <c r="X20" i="41" s="1"/>
  <c r="X23" i="41" s="1"/>
  <c r="W7" i="41"/>
  <c r="V7" i="41"/>
  <c r="V8" i="41" s="1"/>
  <c r="V20" i="41" s="1"/>
  <c r="U7" i="41"/>
  <c r="S7" i="41"/>
  <c r="R7" i="41"/>
  <c r="Q7" i="41"/>
  <c r="M7" i="41"/>
  <c r="K7" i="41"/>
  <c r="J7" i="41"/>
  <c r="F7" i="41"/>
  <c r="E7" i="41"/>
  <c r="D7" i="41"/>
  <c r="D8" i="41" s="1"/>
  <c r="D20" i="41" s="1"/>
  <c r="D23" i="41" s="1"/>
  <c r="C7" i="41"/>
  <c r="B7" i="41" s="1"/>
  <c r="AG6" i="41"/>
  <c r="AF6" i="41"/>
  <c r="AF8" i="41" s="1"/>
  <c r="AF20" i="41" s="1"/>
  <c r="AF23" i="41" s="1"/>
  <c r="AE6" i="41"/>
  <c r="AD6" i="41"/>
  <c r="AD8" i="41" s="1"/>
  <c r="AD20" i="41" s="1"/>
  <c r="AC6" i="41"/>
  <c r="AA6" i="41"/>
  <c r="Z6" i="41"/>
  <c r="Z8" i="41" s="1"/>
  <c r="Z20" i="41" s="1"/>
  <c r="Z23" i="41" s="1"/>
  <c r="Y6" i="41"/>
  <c r="X6" i="41"/>
  <c r="S6" i="41"/>
  <c r="R6" i="41"/>
  <c r="Q6" i="41"/>
  <c r="Q8" i="41" s="1"/>
  <c r="Q20" i="41" s="1"/>
  <c r="K6" i="41"/>
  <c r="K8" i="41" s="1"/>
  <c r="K20" i="41" s="1"/>
  <c r="K23" i="41" s="1"/>
  <c r="J6" i="41"/>
  <c r="J8" i="41" s="1"/>
  <c r="J20" i="41" s="1"/>
  <c r="F6" i="41"/>
  <c r="E6" i="41"/>
  <c r="D6" i="41"/>
  <c r="C6" i="41"/>
  <c r="D5" i="41"/>
  <c r="E5" i="41" s="1"/>
  <c r="F5" i="41" s="1"/>
  <c r="G5" i="41" s="1"/>
  <c r="H5" i="41" s="1"/>
  <c r="I5" i="41" s="1"/>
  <c r="J5" i="41" s="1"/>
  <c r="K5" i="41" s="1"/>
  <c r="L5" i="41" s="1"/>
  <c r="M5" i="41" s="1"/>
  <c r="N5" i="41" s="1"/>
  <c r="O5" i="41" s="1"/>
  <c r="P5" i="41" s="1"/>
  <c r="Q5" i="41" s="1"/>
  <c r="R5" i="41" s="1"/>
  <c r="S5" i="41" s="1"/>
  <c r="T5" i="41" s="1"/>
  <c r="U5" i="41" s="1"/>
  <c r="V5" i="41" s="1"/>
  <c r="W5" i="41" s="1"/>
  <c r="X5" i="41" s="1"/>
  <c r="Y5" i="41" s="1"/>
  <c r="Z5" i="41" s="1"/>
  <c r="AA5" i="41" s="1"/>
  <c r="AB5" i="41" s="1"/>
  <c r="AC5" i="41" s="1"/>
  <c r="AD5" i="41" s="1"/>
  <c r="AE5" i="41" s="1"/>
  <c r="AF5" i="41" s="1"/>
  <c r="AG5" i="41" s="1"/>
  <c r="V23" i="41" l="1"/>
  <c r="J23" i="41"/>
  <c r="AA8" i="41"/>
  <c r="AA20" i="41" s="1"/>
  <c r="AA23" i="41" s="1"/>
  <c r="B21" i="41"/>
  <c r="M23" i="41"/>
  <c r="Y23" i="41"/>
  <c r="N23" i="41"/>
  <c r="B46" i="41"/>
  <c r="G71" i="41"/>
  <c r="B68" i="41"/>
  <c r="B71" i="41" s="1"/>
  <c r="AB23" i="41"/>
  <c r="P47" i="41"/>
  <c r="X47" i="41"/>
  <c r="B45" i="41"/>
  <c r="R8" i="41"/>
  <c r="R20" i="41" s="1"/>
  <c r="R23" i="41" s="1"/>
  <c r="AG23" i="41"/>
  <c r="AD17" i="41"/>
  <c r="AD22" i="41" s="1"/>
  <c r="B22" i="41" s="1"/>
  <c r="B6" i="41"/>
  <c r="B8" i="41" s="1"/>
  <c r="F8" i="41"/>
  <c r="F20" i="41" s="1"/>
  <c r="F23" i="41" s="1"/>
  <c r="Q23" i="41"/>
  <c r="C8" i="41"/>
  <c r="C20" i="41" s="1"/>
  <c r="S8" i="41"/>
  <c r="S20" i="41" s="1"/>
  <c r="S23" i="41" s="1"/>
  <c r="AD23" i="41"/>
  <c r="E23" i="41"/>
  <c r="B44" i="41"/>
  <c r="B47" i="41" s="1"/>
  <c r="C47" i="41"/>
  <c r="K47" i="41"/>
  <c r="AA47" i="41"/>
  <c r="B69" i="41"/>
  <c r="E71" i="41"/>
  <c r="U71" i="41"/>
  <c r="W23" i="41"/>
  <c r="B15" i="41"/>
  <c r="B17" i="41" s="1"/>
  <c r="C71" i="41"/>
  <c r="K71" i="41"/>
  <c r="S71" i="41"/>
  <c r="AA71" i="41"/>
  <c r="I71" i="41"/>
  <c r="Y71" i="41"/>
  <c r="G23" i="41"/>
  <c r="D71" i="41"/>
  <c r="L71" i="41"/>
  <c r="T71" i="41"/>
  <c r="AB71" i="41"/>
  <c r="O23" i="41"/>
  <c r="M71" i="41"/>
  <c r="AC71" i="41"/>
  <c r="F47" i="41"/>
  <c r="N47" i="41"/>
  <c r="V47" i="41"/>
  <c r="AD47" i="41"/>
  <c r="AD71" i="41"/>
  <c r="B20" i="41" l="1"/>
  <c r="B23" i="41" s="1"/>
  <c r="C23" i="41"/>
  <c r="I123" i="40" l="1"/>
  <c r="I128" i="40"/>
  <c r="I127" i="40"/>
  <c r="I125" i="40"/>
  <c r="I124" i="40"/>
  <c r="I122" i="40"/>
  <c r="I121" i="40"/>
  <c r="Z47" i="35"/>
  <c r="H127" i="40"/>
  <c r="G127" i="40"/>
  <c r="F127" i="40"/>
  <c r="E127" i="40"/>
  <c r="D127" i="40"/>
  <c r="C127" i="40"/>
  <c r="B127" i="40"/>
  <c r="H125" i="40"/>
  <c r="H128" i="40" s="1"/>
  <c r="G125" i="40"/>
  <c r="G128" i="40" s="1"/>
  <c r="H124" i="40"/>
  <c r="G124" i="40"/>
  <c r="F124" i="40"/>
  <c r="F125" i="40" s="1"/>
  <c r="F128" i="40" s="1"/>
  <c r="H123" i="40"/>
  <c r="G123" i="40"/>
  <c r="D123" i="40"/>
  <c r="C123" i="40"/>
  <c r="B123" i="40"/>
  <c r="H122" i="40"/>
  <c r="G122" i="40"/>
  <c r="F122" i="40"/>
  <c r="E122" i="40"/>
  <c r="E124" i="40" s="1"/>
  <c r="E125" i="40" s="1"/>
  <c r="E128" i="40" s="1"/>
  <c r="D122" i="40"/>
  <c r="D124" i="40" s="1"/>
  <c r="D125" i="40" s="1"/>
  <c r="D128" i="40" s="1"/>
  <c r="C122" i="40"/>
  <c r="C124" i="40" s="1"/>
  <c r="C125" i="40" s="1"/>
  <c r="C128" i="40" s="1"/>
  <c r="B122" i="40"/>
  <c r="B124" i="40" s="1"/>
  <c r="B125" i="40" s="1"/>
  <c r="B128" i="40" s="1"/>
  <c r="H121" i="40"/>
  <c r="G121" i="40"/>
  <c r="F121" i="40"/>
  <c r="E121" i="40"/>
  <c r="D121" i="40"/>
  <c r="C121" i="40"/>
  <c r="B121" i="40"/>
  <c r="Z43" i="35" l="1"/>
  <c r="Z8" i="35" l="1"/>
  <c r="Z39" i="35" l="1"/>
  <c r="Z38" i="35"/>
  <c r="Z37" i="35"/>
  <c r="Z36" i="35"/>
  <c r="Z35" i="35"/>
  <c r="F34" i="35"/>
  <c r="Z34" i="35" s="1"/>
  <c r="Z24" i="35"/>
  <c r="Z25" i="35"/>
  <c r="Z26" i="35"/>
  <c r="Z27" i="35"/>
  <c r="Z28" i="35"/>
  <c r="Z29" i="35"/>
  <c r="Z23" i="35"/>
  <c r="FY43" i="39"/>
  <c r="FZ43" i="39" s="1"/>
  <c r="GA43" i="39" s="1"/>
  <c r="FU45" i="39" s="1"/>
  <c r="FV45" i="39" s="1"/>
  <c r="FW45" i="39" s="1"/>
  <c r="FX45" i="39" s="1"/>
  <c r="FY45" i="39" s="1"/>
  <c r="FZ45" i="39" s="1"/>
  <c r="GA45" i="39" s="1"/>
  <c r="FU47" i="39" s="1"/>
  <c r="FV47" i="39" s="1"/>
  <c r="FW47" i="39" s="1"/>
  <c r="FX47" i="39" s="1"/>
  <c r="FY47" i="39" s="1"/>
  <c r="FZ47" i="39" s="1"/>
  <c r="GA47" i="39" s="1"/>
  <c r="FU49" i="39" s="1"/>
  <c r="FV49" i="39" s="1"/>
  <c r="FW49" i="39" s="1"/>
  <c r="FX49" i="39" s="1"/>
  <c r="FY49" i="39" s="1"/>
  <c r="FZ49" i="39" s="1"/>
  <c r="GA49" i="39" s="1"/>
  <c r="FU51" i="39" s="1"/>
  <c r="FV51" i="39" s="1"/>
  <c r="FW51" i="39" s="1"/>
  <c r="FX51" i="39" s="1"/>
  <c r="FY51" i="39" s="1"/>
  <c r="FZ51" i="39" s="1"/>
  <c r="FU41" i="39"/>
  <c r="GB38" i="39"/>
  <c r="GA38" i="39"/>
  <c r="FZ38" i="39"/>
  <c r="FY38" i="39"/>
  <c r="FX38" i="39"/>
  <c r="FW38" i="39"/>
  <c r="FV38" i="39"/>
  <c r="FU38" i="39"/>
  <c r="FT38" i="39"/>
  <c r="FZ20" i="39"/>
  <c r="FY20" i="39"/>
  <c r="FX20" i="39"/>
  <c r="FW20" i="39"/>
  <c r="FV20" i="39"/>
  <c r="FU20" i="39"/>
  <c r="FT20" i="39"/>
  <c r="FZ19" i="39"/>
  <c r="FY19" i="39"/>
  <c r="FX19" i="39"/>
  <c r="FW19" i="39"/>
  <c r="FV19" i="39"/>
  <c r="FU19" i="39"/>
  <c r="FT19" i="39"/>
  <c r="FZ18" i="39"/>
  <c r="FY18" i="39"/>
  <c r="FX18" i="39"/>
  <c r="FW18" i="39"/>
  <c r="FV18" i="39"/>
  <c r="FU18" i="39"/>
  <c r="FT18" i="39"/>
  <c r="FZ17" i="39"/>
  <c r="FY17" i="39"/>
  <c r="FX17" i="39"/>
  <c r="FW17" i="39"/>
  <c r="FV17" i="39"/>
  <c r="FU17" i="39"/>
  <c r="FT17" i="39"/>
  <c r="FZ16" i="39"/>
  <c r="FY16" i="39"/>
  <c r="FX16" i="39"/>
  <c r="FW16" i="39"/>
  <c r="FV16" i="39"/>
  <c r="FU16" i="39"/>
  <c r="FT16" i="39"/>
  <c r="FZ15" i="39"/>
  <c r="FY15" i="39"/>
  <c r="FX15" i="39"/>
  <c r="FW15" i="39"/>
  <c r="FV15" i="39"/>
  <c r="FU15" i="39"/>
  <c r="FT15" i="39"/>
  <c r="FZ14" i="39"/>
  <c r="FY14" i="39"/>
  <c r="FX14" i="39"/>
  <c r="FW14" i="39"/>
  <c r="FV14" i="39"/>
  <c r="FU14" i="39"/>
  <c r="FT14" i="39"/>
  <c r="FZ13" i="39"/>
  <c r="FY13" i="39"/>
  <c r="FX13" i="39"/>
  <c r="FW13" i="39"/>
  <c r="FV13" i="39"/>
  <c r="FU13" i="39"/>
  <c r="FT13" i="39"/>
  <c r="FZ12" i="39"/>
  <c r="FY12" i="39"/>
  <c r="FX12" i="39"/>
  <c r="FW12" i="39"/>
  <c r="FV12" i="39"/>
  <c r="FU12" i="39"/>
  <c r="FT12" i="39"/>
  <c r="GB12" i="39" s="1"/>
  <c r="FZ11" i="39"/>
  <c r="FY11" i="39"/>
  <c r="FX11" i="39"/>
  <c r="FW11" i="39"/>
  <c r="FV11" i="39"/>
  <c r="FU11" i="39"/>
  <c r="FT11" i="39"/>
  <c r="FZ10" i="39"/>
  <c r="FY10" i="39"/>
  <c r="FX10" i="39"/>
  <c r="FW10" i="39"/>
  <c r="FV10" i="39"/>
  <c r="FU10" i="39"/>
  <c r="FT10" i="39"/>
  <c r="FZ9" i="39"/>
  <c r="FY9" i="39"/>
  <c r="FX9" i="39"/>
  <c r="FW9" i="39"/>
  <c r="FV9" i="39"/>
  <c r="FU9" i="39"/>
  <c r="FT9" i="39"/>
  <c r="FR7" i="39"/>
  <c r="FZ4" i="39"/>
  <c r="FY4" i="39"/>
  <c r="FX4" i="39"/>
  <c r="FW4" i="39"/>
  <c r="GB4" i="39" s="1"/>
  <c r="FV4" i="39"/>
  <c r="FU4" i="39"/>
  <c r="FT4" i="39"/>
  <c r="FZ3" i="39"/>
  <c r="FY3" i="39"/>
  <c r="FX3" i="39"/>
  <c r="FW3" i="39"/>
  <c r="FV3" i="39"/>
  <c r="FV5" i="39" s="1"/>
  <c r="FU3" i="39"/>
  <c r="FT3" i="39"/>
  <c r="FZ2" i="39"/>
  <c r="FY2" i="39"/>
  <c r="FX2" i="39"/>
  <c r="FW2" i="39"/>
  <c r="FV2" i="39"/>
  <c r="FU2" i="39"/>
  <c r="FT2" i="39"/>
  <c r="GB2" i="39" s="1"/>
  <c r="FZ5" i="39"/>
  <c r="FY21" i="39" l="1"/>
  <c r="FX21" i="39"/>
  <c r="GA4" i="39"/>
  <c r="GB17" i="39"/>
  <c r="FW5" i="39"/>
  <c r="GA2" i="39"/>
  <c r="FV21" i="39"/>
  <c r="GA10" i="39"/>
  <c r="GB15" i="39"/>
  <c r="FX5" i="39"/>
  <c r="GA3" i="39"/>
  <c r="GB3" i="39"/>
  <c r="GB14" i="39"/>
  <c r="GA14" i="39"/>
  <c r="GA13" i="39"/>
  <c r="FT21" i="39"/>
  <c r="GB13" i="39"/>
  <c r="FY5" i="39"/>
  <c r="FW21" i="39"/>
  <c r="GB16" i="39"/>
  <c r="FZ21" i="39"/>
  <c r="GB11" i="39"/>
  <c r="GA12" i="39"/>
  <c r="GB10" i="39"/>
  <c r="GB20" i="39"/>
  <c r="FU5" i="39"/>
  <c r="GB9" i="39"/>
  <c r="GB19" i="39"/>
  <c r="FU21" i="39"/>
  <c r="GB18" i="39"/>
  <c r="GA15" i="39"/>
  <c r="FT5" i="39"/>
  <c r="GA16" i="39"/>
  <c r="GA9" i="39"/>
  <c r="GA17" i="39"/>
  <c r="GA18" i="39"/>
  <c r="GA11" i="39"/>
  <c r="GA19" i="39"/>
  <c r="GA20" i="39"/>
  <c r="GB5" i="39" l="1"/>
  <c r="GB21" i="39"/>
  <c r="GA5" i="39"/>
  <c r="GA21" i="39"/>
  <c r="Z16" i="35" l="1"/>
  <c r="Z19" i="35"/>
  <c r="Z18" i="35"/>
  <c r="Z17" i="35"/>
  <c r="Z15" i="35"/>
  <c r="Z14" i="35"/>
  <c r="Z13" i="35"/>
  <c r="Z9" i="35"/>
  <c r="Z4" i="35"/>
  <c r="Z6" i="35"/>
  <c r="Z5" i="35"/>
  <c r="Y24" i="35" l="1"/>
  <c r="Y14" i="35"/>
  <c r="Y6" i="35"/>
  <c r="Y5" i="35"/>
  <c r="Y4" i="35"/>
  <c r="Y7" i="35"/>
  <c r="Y43" i="35"/>
  <c r="Y44" i="35"/>
  <c r="Y47" i="35"/>
  <c r="Y38" i="35" l="1"/>
  <c r="Y29" i="35" l="1"/>
  <c r="Y28" i="35"/>
  <c r="Y27" i="35"/>
  <c r="Y26" i="35"/>
  <c r="Y25" i="35"/>
  <c r="Y23" i="35"/>
  <c r="Y39" i="35" l="1"/>
  <c r="Y37" i="35"/>
  <c r="Y36" i="35"/>
  <c r="Y35" i="35"/>
  <c r="Y34" i="35"/>
  <c r="B43" i="17"/>
  <c r="Y18" i="35" l="1"/>
  <c r="Y17" i="35"/>
  <c r="Y16" i="35"/>
  <c r="Y15" i="35"/>
  <c r="Y19" i="35"/>
  <c r="Y13" i="35"/>
  <c r="Y8" i="35" l="1"/>
  <c r="Y9" i="35" l="1"/>
  <c r="X30" i="35" l="1"/>
  <c r="W30" i="35"/>
  <c r="V30" i="35"/>
  <c r="X18" i="35" l="1"/>
  <c r="X13" i="35"/>
  <c r="X8" i="35" l="1"/>
  <c r="X47" i="35" l="1"/>
  <c r="W13" i="35" l="1"/>
  <c r="V13" i="35"/>
  <c r="Y14" i="15"/>
  <c r="X14" i="15"/>
  <c r="W14" i="15"/>
  <c r="V14" i="15"/>
  <c r="U14" i="15"/>
  <c r="T14" i="15"/>
  <c r="S14" i="15"/>
  <c r="R14" i="15"/>
  <c r="Q14" i="15"/>
  <c r="P14" i="15"/>
  <c r="I23" i="37"/>
  <c r="I21" i="37"/>
  <c r="I19" i="37"/>
  <c r="I17" i="37"/>
  <c r="I15" i="37"/>
  <c r="I13" i="37"/>
  <c r="I11" i="37"/>
  <c r="I9" i="37"/>
  <c r="I7" i="37"/>
  <c r="I5" i="37"/>
  <c r="I3" i="37"/>
  <c r="K21" i="37" l="1"/>
  <c r="AC23" i="37" l="1"/>
  <c r="AA23" i="37"/>
  <c r="W23" i="37"/>
  <c r="U23" i="37"/>
  <c r="Q23" i="37"/>
  <c r="AC21" i="37"/>
  <c r="AA21" i="37"/>
  <c r="W21" i="37"/>
  <c r="U21" i="37"/>
  <c r="Q21" i="37"/>
  <c r="O21" i="37"/>
  <c r="K23" i="37"/>
  <c r="AC19" i="37"/>
  <c r="AA19" i="37"/>
  <c r="W19" i="37"/>
  <c r="U19" i="37"/>
  <c r="Q19" i="37"/>
  <c r="O19" i="37"/>
  <c r="K19" i="37"/>
  <c r="AD18" i="37"/>
  <c r="AB18" i="37"/>
  <c r="V18" i="37"/>
  <c r="T18" i="37"/>
  <c r="AD17" i="37"/>
  <c r="AB17" i="37"/>
  <c r="AC17" i="37" s="1"/>
  <c r="AA17" i="37"/>
  <c r="V17" i="37"/>
  <c r="W17" i="37" s="1"/>
  <c r="T17" i="37"/>
  <c r="O17" i="37"/>
  <c r="K17" i="37"/>
  <c r="AD16" i="37"/>
  <c r="AB16" i="37"/>
  <c r="V16" i="37"/>
  <c r="T16" i="37"/>
  <c r="AD15" i="37"/>
  <c r="AB15" i="37"/>
  <c r="AA15" i="37"/>
  <c r="V15" i="37"/>
  <c r="W15" i="37" s="1"/>
  <c r="T15" i="37"/>
  <c r="Q15" i="37"/>
  <c r="O15" i="37"/>
  <c r="K15" i="37"/>
  <c r="AB14" i="37"/>
  <c r="V14" i="37"/>
  <c r="T14" i="37"/>
  <c r="AB13" i="37"/>
  <c r="AA13" i="37"/>
  <c r="V13" i="37"/>
  <c r="T13" i="37"/>
  <c r="O13" i="37"/>
  <c r="K13" i="37"/>
  <c r="AD12" i="37"/>
  <c r="AB12" i="37"/>
  <c r="V12" i="37"/>
  <c r="T12" i="37"/>
  <c r="AD11" i="37"/>
  <c r="AB11" i="37"/>
  <c r="AA11" i="37"/>
  <c r="V11" i="37"/>
  <c r="T11" i="37"/>
  <c r="O11" i="37"/>
  <c r="K11" i="37"/>
  <c r="AD10" i="37"/>
  <c r="AB10" i="37"/>
  <c r="V10" i="37"/>
  <c r="T10" i="37"/>
  <c r="AD9" i="37"/>
  <c r="AB9" i="37"/>
  <c r="AA9" i="37"/>
  <c r="V9" i="37"/>
  <c r="T9" i="37"/>
  <c r="O9" i="37"/>
  <c r="K9" i="37"/>
  <c r="AD8" i="37"/>
  <c r="AB8" i="37"/>
  <c r="V8" i="37"/>
  <c r="T8" i="37"/>
  <c r="AD7" i="37"/>
  <c r="AB7" i="37"/>
  <c r="AA7" i="37"/>
  <c r="V7" i="37"/>
  <c r="T7" i="37"/>
  <c r="O7" i="37"/>
  <c r="K7" i="37"/>
  <c r="AD6" i="37"/>
  <c r="AB6" i="37"/>
  <c r="V6" i="37"/>
  <c r="T6" i="37"/>
  <c r="AD5" i="37"/>
  <c r="AB5" i="37"/>
  <c r="AA5" i="37"/>
  <c r="V5" i="37"/>
  <c r="T5" i="37"/>
  <c r="O5" i="37"/>
  <c r="K5" i="37"/>
  <c r="AD4" i="37"/>
  <c r="AB4" i="37"/>
  <c r="V4" i="37"/>
  <c r="T4" i="37"/>
  <c r="AD3" i="37"/>
  <c r="AB3" i="37"/>
  <c r="AA3" i="37"/>
  <c r="V3" i="37"/>
  <c r="W3" i="37" s="1"/>
  <c r="T3" i="37"/>
  <c r="Q3" i="37"/>
  <c r="O3" i="37"/>
  <c r="K3" i="37"/>
  <c r="Y21" i="31"/>
  <c r="AC5" i="37" l="1"/>
  <c r="W7" i="37"/>
  <c r="U7" i="37"/>
  <c r="Q11" i="37"/>
  <c r="Q9" i="37"/>
  <c r="Q7" i="37"/>
  <c r="U11" i="37"/>
  <c r="AC15" i="37"/>
  <c r="U5" i="37"/>
  <c r="U9" i="37"/>
  <c r="U13" i="37"/>
  <c r="Q13" i="37"/>
  <c r="W5" i="37"/>
  <c r="W13" i="37"/>
  <c r="W9" i="37"/>
  <c r="W11" i="37"/>
  <c r="AC13" i="37"/>
  <c r="AC9" i="37"/>
  <c r="AC11" i="37"/>
  <c r="Q5" i="37"/>
  <c r="U17" i="37"/>
  <c r="AC3" i="37"/>
  <c r="U15" i="37"/>
  <c r="AC7" i="37"/>
  <c r="U3" i="37"/>
  <c r="Q17" i="37"/>
  <c r="U30" i="35" l="1"/>
  <c r="T30" i="35"/>
  <c r="S30" i="35"/>
  <c r="R30" i="35"/>
  <c r="Q30" i="35"/>
  <c r="P30" i="35"/>
  <c r="O30" i="35"/>
  <c r="F30" i="35"/>
  <c r="Z30" i="35" s="1"/>
  <c r="E30" i="35"/>
  <c r="Y30" i="35" s="1"/>
  <c r="D30" i="35"/>
  <c r="C30" i="35"/>
  <c r="K35" i="15"/>
  <c r="D5" i="33" l="1"/>
  <c r="C5" i="33"/>
  <c r="C12" i="33"/>
  <c r="B12" i="33"/>
  <c r="D11" i="33"/>
  <c r="C11" i="33"/>
  <c r="B11" i="33"/>
  <c r="D10" i="33"/>
  <c r="C10" i="33"/>
  <c r="B10" i="33"/>
  <c r="B3" i="33"/>
  <c r="B5" i="33" s="1"/>
  <c r="D9" i="33"/>
  <c r="C9" i="33"/>
  <c r="B9" i="33"/>
  <c r="AL18" i="31"/>
  <c r="AL17" i="31"/>
  <c r="AL16" i="31"/>
  <c r="AL15" i="31"/>
  <c r="AL12" i="31"/>
  <c r="AL11" i="31"/>
  <c r="AL10" i="31"/>
  <c r="AL9" i="31"/>
  <c r="AL8" i="31"/>
  <c r="AL7" i="31"/>
  <c r="AL4" i="31"/>
  <c r="AL3" i="31"/>
  <c r="AK23" i="31"/>
  <c r="AK21" i="31"/>
  <c r="AK19" i="31"/>
  <c r="AJ18" i="31"/>
  <c r="AJ17" i="31"/>
  <c r="AJ16" i="31"/>
  <c r="AJ15" i="31"/>
  <c r="AJ14" i="31"/>
  <c r="AJ13" i="31"/>
  <c r="AK13" i="31" s="1"/>
  <c r="AJ12" i="31"/>
  <c r="AJ11" i="31"/>
  <c r="AJ10" i="31"/>
  <c r="AJ9" i="31"/>
  <c r="AK9" i="31" s="1"/>
  <c r="AJ8" i="31"/>
  <c r="AJ7" i="31"/>
  <c r="AK7" i="31" s="1"/>
  <c r="AJ6" i="31"/>
  <c r="AJ5" i="31"/>
  <c r="AK5" i="31" s="1"/>
  <c r="AJ4" i="31"/>
  <c r="AJ3" i="31"/>
  <c r="AK3" i="31" s="1"/>
  <c r="AK17" i="31" l="1"/>
  <c r="AK15" i="31"/>
  <c r="AK11" i="31"/>
  <c r="Y27" i="15"/>
  <c r="Y28" i="15"/>
  <c r="Y29" i="15"/>
  <c r="Y30" i="15"/>
  <c r="Y31" i="15"/>
  <c r="Y32" i="15"/>
  <c r="Y33" i="15"/>
  <c r="Y34" i="15"/>
  <c r="M35" i="15"/>
  <c r="Y15" i="15" l="1"/>
  <c r="Y16" i="15"/>
  <c r="Y17" i="15"/>
  <c r="Y18" i="15"/>
  <c r="Y19" i="15"/>
  <c r="Y20" i="15"/>
  <c r="Y21" i="15"/>
  <c r="Y22" i="15"/>
  <c r="Y23" i="15"/>
  <c r="Y9" i="15" l="1"/>
  <c r="AL6" i="31" l="1"/>
  <c r="AL5" i="31"/>
  <c r="Y10" i="15" l="1"/>
  <c r="Y4" i="15"/>
  <c r="Y7" i="15" l="1"/>
  <c r="Y5" i="15"/>
  <c r="Y6" i="15"/>
  <c r="X9" i="15" l="1"/>
  <c r="X19" i="15"/>
  <c r="X20" i="15"/>
  <c r="X21" i="15"/>
  <c r="X22" i="15"/>
  <c r="X23" i="15"/>
  <c r="X33" i="15" l="1"/>
  <c r="X32" i="15"/>
  <c r="X31" i="15"/>
  <c r="X30" i="15"/>
  <c r="X29" i="15"/>
  <c r="X28" i="15"/>
  <c r="X27" i="15"/>
  <c r="L35" i="15"/>
  <c r="X34" i="15" s="1"/>
  <c r="X18" i="15" l="1"/>
  <c r="X17" i="15"/>
  <c r="X15" i="15"/>
  <c r="X16" i="15"/>
  <c r="X10" i="15" l="1"/>
  <c r="X8" i="15"/>
  <c r="X4" i="15"/>
  <c r="X7" i="15" l="1"/>
  <c r="X6" i="15"/>
  <c r="X5" i="15"/>
  <c r="AI23" i="31" l="1"/>
  <c r="AI21" i="31"/>
  <c r="AI19" i="31"/>
  <c r="AI17" i="31"/>
  <c r="AI15" i="31"/>
  <c r="AI13" i="31"/>
  <c r="AI11" i="31"/>
  <c r="AI9" i="31"/>
  <c r="AI7" i="31"/>
  <c r="AI5" i="31"/>
  <c r="AI3" i="31"/>
  <c r="W28" i="15" l="1"/>
  <c r="W29" i="15"/>
  <c r="W30" i="15"/>
  <c r="W31" i="15"/>
  <c r="W32" i="15"/>
  <c r="W33" i="15"/>
  <c r="W27" i="15"/>
  <c r="W15" i="15"/>
  <c r="W16" i="15"/>
  <c r="W17" i="15"/>
  <c r="W18" i="15"/>
  <c r="W19" i="15"/>
  <c r="W21" i="15"/>
  <c r="W22" i="15"/>
  <c r="W23" i="15"/>
  <c r="W34" i="15" l="1"/>
  <c r="W4" i="15" l="1"/>
  <c r="W10" i="15"/>
  <c r="W9" i="15" l="1"/>
  <c r="W7" i="15" l="1"/>
  <c r="W6" i="15"/>
  <c r="W5" i="15"/>
  <c r="W8" i="15" l="1"/>
  <c r="J35" i="15" l="1"/>
  <c r="AD16" i="31"/>
  <c r="AD15" i="31"/>
  <c r="AD14" i="31"/>
  <c r="AD13" i="31"/>
  <c r="AD12" i="31"/>
  <c r="AD11" i="31"/>
  <c r="AE11" i="31" s="1"/>
  <c r="AD10" i="31"/>
  <c r="AD9" i="31"/>
  <c r="AD8" i="31"/>
  <c r="AD7" i="31"/>
  <c r="AD6" i="31"/>
  <c r="AD5" i="31"/>
  <c r="AD4" i="31" l="1"/>
  <c r="AD3" i="31"/>
  <c r="U10" i="15"/>
  <c r="U4" i="15"/>
  <c r="U8" i="15"/>
  <c r="AE3" i="31" l="1"/>
  <c r="AE23" i="31"/>
  <c r="AE21" i="31"/>
  <c r="AE19" i="31"/>
  <c r="AD18" i="31"/>
  <c r="AD17" i="31"/>
  <c r="AC23" i="31"/>
  <c r="Y23" i="31"/>
  <c r="AC21" i="31"/>
  <c r="W21" i="31"/>
  <c r="U21" i="31"/>
  <c r="S21" i="31"/>
  <c r="Q21" i="31"/>
  <c r="AC19" i="31"/>
  <c r="Y19" i="31"/>
  <c r="W19" i="31"/>
  <c r="U19" i="31"/>
  <c r="S19" i="31"/>
  <c r="Q19" i="31"/>
  <c r="AB18" i="31"/>
  <c r="Z18" i="31"/>
  <c r="X18" i="31"/>
  <c r="T18" i="31"/>
  <c r="AB17" i="31"/>
  <c r="Z17" i="31"/>
  <c r="X17" i="31"/>
  <c r="W17" i="31"/>
  <c r="T17" i="31"/>
  <c r="S17" i="31"/>
  <c r="Q17" i="31"/>
  <c r="O17" i="31"/>
  <c r="AB16" i="31"/>
  <c r="Z16" i="31"/>
  <c r="X16" i="31"/>
  <c r="T16" i="31"/>
  <c r="AB15" i="31"/>
  <c r="Z15" i="31"/>
  <c r="X15" i="31"/>
  <c r="W15" i="31"/>
  <c r="T15" i="31"/>
  <c r="S15" i="31"/>
  <c r="Q15" i="31"/>
  <c r="O15" i="31"/>
  <c r="K15" i="31"/>
  <c r="AB14" i="31"/>
  <c r="Z14" i="31"/>
  <c r="X14" i="31"/>
  <c r="AB13" i="31"/>
  <c r="Z13" i="31"/>
  <c r="X13" i="31"/>
  <c r="W13" i="31"/>
  <c r="U13" i="31"/>
  <c r="S13" i="31"/>
  <c r="Q13" i="31"/>
  <c r="O13" i="31"/>
  <c r="AB12" i="31"/>
  <c r="Z12" i="31"/>
  <c r="X12" i="31"/>
  <c r="T12" i="31"/>
  <c r="AB11" i="31"/>
  <c r="Z11" i="31"/>
  <c r="X11" i="31"/>
  <c r="W11" i="31"/>
  <c r="T11" i="31"/>
  <c r="S11" i="31"/>
  <c r="Q11" i="31"/>
  <c r="O11" i="31"/>
  <c r="AB10" i="31"/>
  <c r="Z10" i="31"/>
  <c r="X10" i="31"/>
  <c r="AB9" i="31"/>
  <c r="Z9" i="31"/>
  <c r="X9" i="31"/>
  <c r="W9" i="31"/>
  <c r="U9" i="31"/>
  <c r="S9" i="31"/>
  <c r="Q9" i="31"/>
  <c r="O9" i="31"/>
  <c r="AB8" i="31"/>
  <c r="Z8" i="31"/>
  <c r="X8" i="31"/>
  <c r="T8" i="31"/>
  <c r="AB7" i="31"/>
  <c r="Z7" i="31"/>
  <c r="X7" i="31"/>
  <c r="W7" i="31"/>
  <c r="T7" i="31"/>
  <c r="U7" i="31" s="1"/>
  <c r="S7" i="31"/>
  <c r="Q7" i="31"/>
  <c r="O7" i="31"/>
  <c r="AB6" i="31"/>
  <c r="Z6" i="31"/>
  <c r="X6" i="31"/>
  <c r="T6" i="31"/>
  <c r="AB5" i="31"/>
  <c r="Z5" i="31"/>
  <c r="X5" i="31"/>
  <c r="W5" i="31"/>
  <c r="T5" i="31"/>
  <c r="S5" i="31"/>
  <c r="Q5" i="31"/>
  <c r="O5" i="31"/>
  <c r="AB4" i="31"/>
  <c r="Z4" i="31"/>
  <c r="X4" i="31"/>
  <c r="T4" i="31"/>
  <c r="AB3" i="31"/>
  <c r="Z3" i="31"/>
  <c r="X3" i="31"/>
  <c r="W3" i="31"/>
  <c r="T3" i="31"/>
  <c r="U3" i="31" s="1"/>
  <c r="S3" i="31"/>
  <c r="U11" i="31" l="1"/>
  <c r="AC13" i="31"/>
  <c r="U15" i="31"/>
  <c r="AE17" i="31"/>
  <c r="AC17" i="31"/>
  <c r="AC11" i="31"/>
  <c r="AC3" i="31"/>
  <c r="U5" i="31"/>
  <c r="Y5" i="31"/>
  <c r="Y9" i="31"/>
  <c r="AC7" i="31"/>
  <c r="Y3" i="31"/>
  <c r="AC5" i="31"/>
  <c r="AC9" i="31"/>
  <c r="AC15" i="31"/>
  <c r="U17" i="31"/>
  <c r="Y17" i="31"/>
  <c r="Y7" i="31"/>
  <c r="Y11" i="31"/>
  <c r="Y15" i="31"/>
  <c r="Y13" i="31"/>
  <c r="U34" i="15"/>
  <c r="U33" i="15"/>
  <c r="U32" i="15"/>
  <c r="U31" i="15"/>
  <c r="U30" i="15"/>
  <c r="U29" i="15"/>
  <c r="U28" i="15"/>
  <c r="U27" i="15" l="1"/>
  <c r="U23" i="15"/>
  <c r="U22" i="15"/>
  <c r="U21" i="15"/>
  <c r="U19" i="15"/>
  <c r="U18" i="15"/>
  <c r="U17" i="15"/>
  <c r="U16" i="15"/>
  <c r="U15" i="15"/>
  <c r="U9" i="15"/>
  <c r="U7" i="15"/>
  <c r="U6" i="15"/>
  <c r="U5" i="15"/>
  <c r="T9" i="15"/>
  <c r="T4" i="15"/>
  <c r="T5" i="15"/>
  <c r="T7" i="15"/>
  <c r="T8" i="15"/>
  <c r="T10" i="15"/>
  <c r="T15" i="15"/>
  <c r="T16" i="15"/>
  <c r="T17" i="15"/>
  <c r="T18" i="15"/>
  <c r="T19" i="15"/>
  <c r="T21" i="15"/>
  <c r="T22" i="15"/>
  <c r="T23" i="15"/>
  <c r="T27" i="15"/>
  <c r="T28" i="15"/>
  <c r="T29" i="15"/>
  <c r="T30" i="15"/>
  <c r="T31" i="15"/>
  <c r="T32" i="15"/>
  <c r="T33" i="15"/>
  <c r="T34" i="15"/>
  <c r="I35" i="15"/>
  <c r="AE13" i="31" l="1"/>
  <c r="AE7" i="31" l="1"/>
  <c r="AE9" i="31" l="1"/>
  <c r="H35" i="15" l="1"/>
  <c r="H6" i="15" l="1"/>
  <c r="T6" i="15" s="1"/>
  <c r="AE15" i="31" l="1"/>
  <c r="S9" i="15"/>
  <c r="S18" i="15" l="1"/>
  <c r="S8" i="15" l="1"/>
  <c r="S6" i="15"/>
  <c r="S10" i="15" l="1"/>
  <c r="R9" i="15" l="1"/>
  <c r="Q9" i="15"/>
  <c r="P9" i="15"/>
  <c r="S28" i="15"/>
  <c r="S29" i="15"/>
  <c r="S30" i="15"/>
  <c r="S31" i="15"/>
  <c r="S32" i="15"/>
  <c r="S33" i="15"/>
  <c r="S34" i="15"/>
  <c r="S27" i="15"/>
  <c r="S15" i="15"/>
  <c r="S16" i="15"/>
  <c r="S17" i="15"/>
  <c r="S19" i="15"/>
  <c r="S21" i="15"/>
  <c r="S22" i="15"/>
  <c r="S23" i="15"/>
  <c r="G35" i="15"/>
  <c r="S5" i="15"/>
  <c r="S7" i="15"/>
  <c r="S4" i="15"/>
  <c r="R23" i="15" l="1"/>
  <c r="AE5" i="31" l="1"/>
  <c r="F35" i="15" l="1"/>
  <c r="R34" i="15"/>
  <c r="R33" i="15"/>
  <c r="R32" i="15"/>
  <c r="R19" i="15"/>
  <c r="R10" i="15"/>
  <c r="R28" i="15"/>
  <c r="R29" i="15"/>
  <c r="R30" i="15"/>
  <c r="R31" i="15"/>
  <c r="R27" i="15"/>
  <c r="R15" i="15"/>
  <c r="R16" i="15"/>
  <c r="R17" i="15"/>
  <c r="R18" i="15"/>
  <c r="R21" i="15"/>
  <c r="R5" i="15"/>
  <c r="R8" i="15"/>
  <c r="R22" i="15"/>
  <c r="R6" i="15"/>
  <c r="R7" i="15"/>
  <c r="R4" i="15"/>
  <c r="E35" i="15" l="1"/>
  <c r="Q28" i="15" l="1"/>
  <c r="Q29" i="15"/>
  <c r="Q30" i="15"/>
  <c r="Q31" i="15"/>
  <c r="Q32" i="15"/>
  <c r="Q33" i="15"/>
  <c r="Q34" i="15"/>
  <c r="Q27" i="15"/>
  <c r="Q15" i="15"/>
  <c r="Q16" i="15"/>
  <c r="Q17" i="15"/>
  <c r="Q18" i="15"/>
  <c r="Q21" i="15"/>
  <c r="Q5" i="15"/>
  <c r="Q8" i="15"/>
  <c r="Q22" i="15"/>
  <c r="Q6" i="15"/>
  <c r="Q7" i="15"/>
  <c r="Q4" i="15"/>
  <c r="P8" i="15"/>
  <c r="Q19" i="15"/>
  <c r="P33" i="15" l="1"/>
  <c r="P31" i="15"/>
  <c r="P29" i="15"/>
  <c r="P32" i="15"/>
  <c r="P28" i="15"/>
  <c r="C35" i="15" l="1"/>
  <c r="B35" i="15"/>
  <c r="D35" i="15"/>
  <c r="C19" i="15" l="1"/>
  <c r="P34" i="15" l="1"/>
  <c r="P30" i="15"/>
  <c r="P15" i="15" l="1"/>
  <c r="P18" i="15" l="1"/>
  <c r="P21" i="15" l="1"/>
  <c r="P16" i="15" l="1"/>
  <c r="P6" i="15" l="1"/>
  <c r="P5" i="15"/>
  <c r="B19" i="15"/>
  <c r="P22" i="15" l="1"/>
  <c r="P17" i="15"/>
  <c r="P19" i="15" l="1"/>
  <c r="P4" i="15"/>
  <c r="P27" i="15" l="1"/>
  <c r="P7"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Ganesh P Acharya</author>
  </authors>
  <commentList>
    <comment ref="E19" authorId="0" shapeId="0" xr:uid="{0A5C253E-A9E5-47D5-8707-71F7BEF6C8BA}">
      <text>
        <r>
          <rPr>
            <b/>
            <sz val="9"/>
            <color indexed="81"/>
            <rFont val="Tahoma"/>
            <family val="2"/>
          </rPr>
          <t>Ganesh P Acharya:</t>
        </r>
        <r>
          <rPr>
            <sz val="9"/>
            <color indexed="81"/>
            <rFont val="Tahoma"/>
            <family val="2"/>
          </rPr>
          <t xml:space="preserve">
5130 Auto entry, 2213 Manual entry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Ganesh P Acharya</author>
  </authors>
  <commentList>
    <comment ref="L4" authorId="0" shapeId="0" xr:uid="{FBA7D7FD-F19A-47F6-8FAB-1D48DC7A1BA8}">
      <text>
        <r>
          <rPr>
            <b/>
            <sz val="9"/>
            <color indexed="81"/>
            <rFont val="Tahoma"/>
            <family val="2"/>
          </rPr>
          <t>Ganesh P Acharya:</t>
        </r>
        <r>
          <rPr>
            <sz val="9"/>
            <color indexed="81"/>
            <rFont val="Tahoma"/>
            <family val="2"/>
          </rPr>
          <t xml:space="preserve">
Discussed and agreed with client on additonal time spend per ticket due to change in Workflow - Viva Flex</t>
        </r>
      </text>
    </comment>
    <comment ref="L5" authorId="0" shapeId="0" xr:uid="{17118031-F8E7-43E5-B489-4A26FBD9E521}">
      <text>
        <r>
          <rPr>
            <b/>
            <sz val="9"/>
            <color indexed="81"/>
            <rFont val="Tahoma"/>
            <family val="2"/>
          </rPr>
          <t>Ganesh P Acharya:</t>
        </r>
        <r>
          <rPr>
            <sz val="9"/>
            <color indexed="81"/>
            <rFont val="Tahoma"/>
            <family val="2"/>
          </rPr>
          <t xml:space="preserve">
Discussed and agreed with client on additonal time spend per ticket due to change in Workflow - Viva Flex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Ganesh P Acharya</author>
  </authors>
  <commentList>
    <comment ref="D40" authorId="0" shapeId="0" xr:uid="{8CC969D9-3CA1-495D-BF6A-3B5B55FE2169}">
      <text>
        <r>
          <rPr>
            <b/>
            <sz val="9"/>
            <color indexed="81"/>
            <rFont val="Tahoma"/>
            <family val="2"/>
          </rPr>
          <t>Ganesh P Acharya:</t>
        </r>
        <r>
          <rPr>
            <sz val="9"/>
            <color indexed="81"/>
            <rFont val="Tahoma"/>
            <family val="2"/>
          </rPr>
          <t xml:space="preserve">
5130 Auto entry, 2213 Manual entry</t>
        </r>
      </text>
    </comment>
  </commentList>
</comments>
</file>

<file path=xl/sharedStrings.xml><?xml version="1.0" encoding="utf-8"?>
<sst xmlns="http://schemas.openxmlformats.org/spreadsheetml/2006/main" count="2960" uniqueCount="1106">
  <si>
    <t>PCF Review</t>
  </si>
  <si>
    <t>Total</t>
  </si>
  <si>
    <t>Inventory Purchasing</t>
  </si>
  <si>
    <t>Lot wash Invoice</t>
  </si>
  <si>
    <t>Electronic Payment Posting</t>
  </si>
  <si>
    <t>Online Decision</t>
  </si>
  <si>
    <t>Decision Completed</t>
  </si>
  <si>
    <t>Rejected</t>
  </si>
  <si>
    <t>Cash Balancing</t>
  </si>
  <si>
    <t>Grand Total</t>
  </si>
  <si>
    <t>Matching</t>
  </si>
  <si>
    <t>-</t>
  </si>
  <si>
    <t>Date</t>
  </si>
  <si>
    <t>MTD</t>
  </si>
  <si>
    <t>Quality %</t>
  </si>
  <si>
    <t>Sub Process</t>
  </si>
  <si>
    <t xml:space="preserve"> DT Lot Wash - Invoice Posted</t>
  </si>
  <si>
    <t xml:space="preserve"> Electronic Payment Posting</t>
  </si>
  <si>
    <t xml:space="preserve"> Overpayment Refund Research</t>
  </si>
  <si>
    <t xml:space="preserve"> Online Decisioning</t>
  </si>
  <si>
    <t>Volume Handled</t>
  </si>
  <si>
    <t>Total Loss</t>
  </si>
  <si>
    <t>AP Phone Support</t>
  </si>
  <si>
    <t>PCF Processing</t>
  </si>
  <si>
    <t xml:space="preserve"> PCF Processing</t>
  </si>
  <si>
    <t>Units Posted</t>
  </si>
  <si>
    <t xml:space="preserve"> DT Inventory Purchase - Units Entered</t>
  </si>
  <si>
    <t>Aug</t>
  </si>
  <si>
    <t>Jerry Mammen Mathews</t>
  </si>
  <si>
    <t>General Accounting</t>
  </si>
  <si>
    <t>CV 40's</t>
  </si>
  <si>
    <t>DT 40's</t>
  </si>
  <si>
    <t>Refunds</t>
  </si>
  <si>
    <t>Sep</t>
  </si>
  <si>
    <t>Task</t>
  </si>
  <si>
    <t>Completed</t>
  </si>
  <si>
    <t>Follow up</t>
  </si>
  <si>
    <t>Charge Off</t>
  </si>
  <si>
    <t>Auction Surplus</t>
  </si>
  <si>
    <t>RC Audit</t>
  </si>
  <si>
    <t>Auditor/RC</t>
  </si>
  <si>
    <t>Krishnaprasad C M</t>
  </si>
  <si>
    <t>QC Pass</t>
  </si>
  <si>
    <t>Oct</t>
  </si>
  <si>
    <t>Nov</t>
  </si>
  <si>
    <t>110110 Research</t>
  </si>
  <si>
    <t>Blackline Audit</t>
  </si>
  <si>
    <t>Accounts Payable</t>
  </si>
  <si>
    <t>Accounts Receivable</t>
  </si>
  <si>
    <t>Representative</t>
  </si>
  <si>
    <t>Amasidda Banne</t>
  </si>
  <si>
    <t>Anjaly Krishna</t>
  </si>
  <si>
    <t>Ann Maria Teresa K</t>
  </si>
  <si>
    <t>Sreevaisakh Elamon</t>
  </si>
  <si>
    <t>Sruthi Chandran</t>
  </si>
  <si>
    <t>Jun</t>
  </si>
  <si>
    <t>Jul</t>
  </si>
  <si>
    <t>Closing Count</t>
  </si>
  <si>
    <t xml:space="preserve"> SilverRock AP</t>
  </si>
  <si>
    <t xml:space="preserve"> RC AP Audit</t>
  </si>
  <si>
    <t>Rejecting Refunds</t>
  </si>
  <si>
    <t>Dec</t>
  </si>
  <si>
    <t>PR Email Query</t>
  </si>
  <si>
    <t>NC</t>
  </si>
  <si>
    <t>Jan</t>
  </si>
  <si>
    <t>Echecks Creation</t>
  </si>
  <si>
    <t>BCAC Approval in CLASS</t>
  </si>
  <si>
    <t>Voided Checks Log</t>
  </si>
  <si>
    <t>DAX (1001, 1003 &amp; 1004)</t>
  </si>
  <si>
    <t>Auction Repo</t>
  </si>
  <si>
    <t>Process</t>
  </si>
  <si>
    <t>Working Days</t>
  </si>
  <si>
    <t>Avg</t>
  </si>
  <si>
    <t>Upload Posted</t>
  </si>
  <si>
    <t xml:space="preserve"> Phone Support - Refund/AR</t>
  </si>
  <si>
    <t>Subeesh</t>
  </si>
  <si>
    <t>Total Calls - Leena</t>
  </si>
  <si>
    <t>Total Calls - Dhanalakshmi</t>
  </si>
  <si>
    <t>Average Handle - Leena</t>
  </si>
  <si>
    <t>Average Handle - Dhanalakshmi</t>
  </si>
  <si>
    <t>Lady D Refunds</t>
  </si>
  <si>
    <t xml:space="preserve">Payment Research  Volume/Quality Metrics </t>
  </si>
  <si>
    <t xml:space="preserve">AR &amp; Accounts Adjustments - Volume/Quality Metrics </t>
  </si>
  <si>
    <t xml:space="preserve"> Upload Desk</t>
  </si>
  <si>
    <t xml:space="preserve"> PCF Review</t>
  </si>
  <si>
    <t xml:space="preserve"> Auction Repo</t>
  </si>
  <si>
    <t>Feb</t>
  </si>
  <si>
    <t>Assigned Task</t>
  </si>
  <si>
    <t>Total Shaw Rejects Actioned</t>
  </si>
  <si>
    <t>Mar</t>
  </si>
  <si>
    <t>Training</t>
  </si>
  <si>
    <t>June</t>
  </si>
  <si>
    <t>July</t>
  </si>
  <si>
    <t>August</t>
  </si>
  <si>
    <t>March</t>
  </si>
  <si>
    <t>January</t>
  </si>
  <si>
    <t>February</t>
  </si>
  <si>
    <t>Apr</t>
  </si>
  <si>
    <t xml:space="preserve">Unwinds Fees </t>
  </si>
  <si>
    <t xml:space="preserve">Ebox BD </t>
  </si>
  <si>
    <t xml:space="preserve">Ebox JE </t>
  </si>
  <si>
    <t>CV Payoff</t>
  </si>
  <si>
    <t>Amasidda</t>
  </si>
  <si>
    <t xml:space="preserve"> Central Services</t>
  </si>
  <si>
    <t xml:space="preserve"> Retail Desk/E Checks</t>
  </si>
  <si>
    <t xml:space="preserve"> Cash Balancing - Bridgecrest</t>
  </si>
  <si>
    <t>AP  - Volume/Quality Metrics</t>
  </si>
  <si>
    <t>Anjaly</t>
  </si>
  <si>
    <t>Ann Maria</t>
  </si>
  <si>
    <t>Sreevaisakh</t>
  </si>
  <si>
    <t>Sruthi</t>
  </si>
  <si>
    <t>Minutes per Ticket</t>
  </si>
  <si>
    <t>Tickets Closed</t>
  </si>
  <si>
    <t>Work Time (Minutes) </t>
  </si>
  <si>
    <t>Firestone</t>
  </si>
  <si>
    <t>Warranty</t>
  </si>
  <si>
    <t>Kickback Reviews</t>
  </si>
  <si>
    <t>Peer Support</t>
  </si>
  <si>
    <t>Assigned Task/Project</t>
  </si>
  <si>
    <t>Team Work Time Efficiency</t>
  </si>
  <si>
    <t>Work Time Efficiency</t>
  </si>
  <si>
    <t>Labor Minutes Per Day</t>
  </si>
  <si>
    <t>Miscellaneous Minutes Per Day</t>
  </si>
  <si>
    <t>VTO/PTO Minutes</t>
  </si>
  <si>
    <t>Total Projected Work Time</t>
  </si>
  <si>
    <t>May</t>
  </si>
  <si>
    <t>Meetings/System outage</t>
  </si>
  <si>
    <t xml:space="preserve"> Total Volume Handled</t>
  </si>
  <si>
    <t xml:space="preserve"> Man Days ( 5 Representatives X Working days)</t>
  </si>
  <si>
    <t xml:space="preserve"> Average Day Productivity/Agent</t>
  </si>
  <si>
    <t xml:space="preserve"> Net Available hours</t>
  </si>
  <si>
    <t xml:space="preserve"> Average Productivity Per Agent/hour</t>
  </si>
  <si>
    <t xml:space="preserve"> Errors Reported</t>
  </si>
  <si>
    <t xml:space="preserve"> Achievement vs Target of 18 Tickets Per hour</t>
  </si>
  <si>
    <t>Utilization Tracking</t>
  </si>
  <si>
    <t xml:space="preserve"> Monthly Scheduled hours (7.5 X Scheduled days for team</t>
  </si>
  <si>
    <t xml:space="preserve"> Hours spend on Training, Meeting, Huddle, Clarification &amp; Kickback</t>
  </si>
  <si>
    <t>Nithya Swaminathan</t>
  </si>
  <si>
    <t>Call Management</t>
  </si>
  <si>
    <t>Total Calls - Afreena</t>
  </si>
  <si>
    <t>Total Calls - Dharani</t>
  </si>
  <si>
    <t>Average Handle - Afreena</t>
  </si>
  <si>
    <t>Average Handle - Dharani</t>
  </si>
  <si>
    <t>Assigned Activity</t>
  </si>
  <si>
    <t>Total Loss - Follow Up</t>
  </si>
  <si>
    <t>Weekly Check Pull (BCAC Check Run)</t>
  </si>
  <si>
    <t>BCAC Checking for Posted</t>
  </si>
  <si>
    <t>Returned Check Logs</t>
  </si>
  <si>
    <t>Email Management</t>
  </si>
  <si>
    <t>Total Emails Volume - AP</t>
  </si>
  <si>
    <t>PR - Opening Email Count</t>
  </si>
  <si>
    <t>PR - Newly Assigned Email Count</t>
  </si>
  <si>
    <t>PR - Completed Email Count</t>
  </si>
  <si>
    <t>PR - Follow Up Email Count</t>
  </si>
  <si>
    <t>PR - Closing Email Count</t>
  </si>
  <si>
    <t>Errors</t>
  </si>
  <si>
    <t>Total QC</t>
  </si>
  <si>
    <t>Error %</t>
  </si>
  <si>
    <t xml:space="preserve"> Quality in %</t>
  </si>
  <si>
    <t xml:space="preserve">Stockbridge </t>
  </si>
  <si>
    <t>Kuykendahl</t>
  </si>
  <si>
    <t>Fortworth</t>
  </si>
  <si>
    <t>Orlando</t>
  </si>
  <si>
    <t>Phoenix</t>
  </si>
  <si>
    <t>Tampa</t>
  </si>
  <si>
    <t>Charlotte</t>
  </si>
  <si>
    <t>Cicero</t>
  </si>
  <si>
    <t>Denver</t>
  </si>
  <si>
    <t>Memphis</t>
  </si>
  <si>
    <t>Columbus</t>
  </si>
  <si>
    <t>Detroit</t>
  </si>
  <si>
    <t>Fontana</t>
  </si>
  <si>
    <t>Kansas City</t>
  </si>
  <si>
    <t>Las Vegas</t>
  </si>
  <si>
    <t>Owings Mills</t>
  </si>
  <si>
    <t>Philadelphia</t>
  </si>
  <si>
    <t>Total Calls - Nandhini</t>
  </si>
  <si>
    <t>Lotwash Processed</t>
  </si>
  <si>
    <t>Lotwash Rejected</t>
  </si>
  <si>
    <t>MTD - No of Errors</t>
  </si>
  <si>
    <t>MTD - Quality in %</t>
  </si>
  <si>
    <t>Nithya</t>
  </si>
  <si>
    <t>Sl No</t>
  </si>
  <si>
    <t>Error Reported on</t>
  </si>
  <si>
    <t>Claim No</t>
  </si>
  <si>
    <t>Error Committed</t>
  </si>
  <si>
    <t>User Name</t>
  </si>
  <si>
    <t>Status (Correction done/Yet to do Correction)</t>
  </si>
  <si>
    <t>C101199065</t>
  </si>
  <si>
    <t>Correction done</t>
  </si>
  <si>
    <t>C101177184</t>
  </si>
  <si>
    <t>C101091810</t>
  </si>
  <si>
    <t>Yet to do Correction</t>
  </si>
  <si>
    <t>C101102450</t>
  </si>
  <si>
    <t>Need to confirm with Macaila and ticket is not handled by Amasidda</t>
  </si>
  <si>
    <t>C101160366</t>
  </si>
  <si>
    <t>C101176926</t>
  </si>
  <si>
    <t>C101160439</t>
  </si>
  <si>
    <t>C101108646</t>
  </si>
  <si>
    <t>Kavitha</t>
  </si>
  <si>
    <t>C101204798</t>
  </si>
  <si>
    <t>C101142180</t>
  </si>
  <si>
    <t>C101147057</t>
  </si>
  <si>
    <t xml:space="preserve">C101079395 </t>
  </si>
  <si>
    <t>April</t>
  </si>
  <si>
    <t>C101261987</t>
  </si>
  <si>
    <t>C101233695</t>
  </si>
  <si>
    <t>C101261768</t>
  </si>
  <si>
    <t>C101273792</t>
  </si>
  <si>
    <t>C101270693</t>
  </si>
  <si>
    <t>C101151129</t>
  </si>
  <si>
    <t>C101153551</t>
  </si>
  <si>
    <t>C101134003</t>
  </si>
  <si>
    <t>C101155345</t>
  </si>
  <si>
    <t>C101201529</t>
  </si>
  <si>
    <t>C101195715</t>
  </si>
  <si>
    <t>C101277233</t>
  </si>
  <si>
    <t>C101289613</t>
  </si>
  <si>
    <t>C101337735</t>
  </si>
  <si>
    <t>C101266468</t>
  </si>
  <si>
    <t>C101341330</t>
  </si>
  <si>
    <t>Sruithi</t>
  </si>
  <si>
    <t>C101289997</t>
  </si>
  <si>
    <t>C101341246</t>
  </si>
  <si>
    <t>C101168326</t>
  </si>
  <si>
    <t>C101346641</t>
  </si>
  <si>
    <t>C101262742</t>
  </si>
  <si>
    <t>C101360800</t>
  </si>
  <si>
    <t>C101221937</t>
  </si>
  <si>
    <t>C101351682</t>
  </si>
  <si>
    <t>Ref</t>
  </si>
  <si>
    <t>Success Measure</t>
  </si>
  <si>
    <t>Type</t>
  </si>
  <si>
    <t>Service Level</t>
  </si>
  <si>
    <t>Calculation: Numerator / Denominator</t>
  </si>
  <si>
    <t>Target</t>
  </si>
  <si>
    <t>Sep Count</t>
  </si>
  <si>
    <t>Oct Count</t>
  </si>
  <si>
    <t>Nov Count</t>
  </si>
  <si>
    <t>Dec Count</t>
  </si>
  <si>
    <t>Jan
 Count</t>
  </si>
  <si>
    <t>Feb
 Count</t>
  </si>
  <si>
    <t>April
Count</t>
  </si>
  <si>
    <t xml:space="preserve">May </t>
  </si>
  <si>
    <t>June Count</t>
  </si>
  <si>
    <t>July Count</t>
  </si>
  <si>
    <t>Actual</t>
  </si>
  <si>
    <t>Count</t>
  </si>
  <si>
    <t>Timeliness</t>
  </si>
  <si>
    <t>% Invoices registered within 2 business days from receipt</t>
  </si>
  <si>
    <t>Numerator: Total number of invoices registered timely in the system</t>
  </si>
  <si>
    <t>Denominator: Total number of invoices received for registration</t>
  </si>
  <si>
    <t>Accuracy</t>
  </si>
  <si>
    <t>% Invoices processed accurately, without quality issues</t>
  </si>
  <si>
    <t>Numerator: Total number of invoices registered accurately in the system</t>
  </si>
  <si>
    <t>(Accuracy is measured as: No errors reported by client)</t>
  </si>
  <si>
    <t>Denominator: Total number of invoices registered</t>
  </si>
  <si>
    <t>Respond to all email queries within 1business days </t>
  </si>
  <si>
    <t>Numerator: No of emails responded within cut off time Including interim response for valid reasons</t>
  </si>
  <si>
    <t>Denominator: Total no of emails due for response in the month</t>
  </si>
  <si>
    <t>Customer Receipts Application &amp; Resolution</t>
  </si>
  <si>
    <t>Resolve or escalate all unapplied receipts as per defined timelines</t>
  </si>
  <si>
    <t>Numerator: Total unapplied receipts actioned as per agreed timelines</t>
  </si>
  <si>
    <t>Apply within 1 business day or raise query</t>
  </si>
  <si>
    <t>Denominator: Total unapplied receipts for the month (except received on last day of the month)</t>
  </si>
  <si>
    <t>Customer Query Response</t>
  </si>
  <si>
    <r>
      <t>All emails to be acknowledged within 1 business day</t>
    </r>
    <r>
      <rPr>
        <strike/>
        <sz val="10"/>
        <color rgb="FF000000"/>
        <rFont val="Arial"/>
        <family val="2"/>
      </rPr>
      <t>s</t>
    </r>
  </si>
  <si>
    <t>Numerator: # of customer queries received by emails acknowledged  within 1 business day</t>
  </si>
  <si>
    <t>Denominator: Total customer queries by emails received during the month</t>
  </si>
  <si>
    <t>Resolve or escalate to on-shore team, all email queries within 2 business days </t>
  </si>
  <si>
    <t>Numerator: No of emails resolved within cut off time.</t>
  </si>
  <si>
    <t>Denominator: Total no of emails received</t>
  </si>
  <si>
    <t>Bank Reconciliation &amp; Research</t>
  </si>
  <si>
    <t xml:space="preserve">Complete all reconciliations as per agreed times </t>
  </si>
  <si>
    <t>Numerator: No of reconciliations completed as per agreed timeline</t>
  </si>
  <si>
    <t>Denominator: Total number of reconciliations due in the month</t>
  </si>
  <si>
    <t>Manual Record Vehicle Purchases</t>
  </si>
  <si>
    <t>Record all vehicle purchases into Class inventory system within 5 business days</t>
  </si>
  <si>
    <t>Numerator: No of vehicle purchases recorded as per agreed timeline</t>
  </si>
  <si>
    <t>Denominator: Total vehicle recording to be completed within the month as per agreed timelines</t>
  </si>
  <si>
    <t>Reconciliation - TAT ( Activity completed as per timeline)</t>
  </si>
  <si>
    <t>All Reconcilation and month end close activity to be completed as per MEC Tracker</t>
  </si>
  <si>
    <t>Numerator - No of MEC Tasks</t>
  </si>
  <si>
    <t>Denominatior - No of MEC Task completed as per timeline</t>
  </si>
  <si>
    <t>MEC Completion - Quality &amp; Accuracy</t>
  </si>
  <si>
    <t>% Activity processed accurately, without quality issues</t>
  </si>
  <si>
    <t>Numerator: Total number of JE/Actiivty registered accurately in the system</t>
  </si>
  <si>
    <t>Denominator: Total number of JE/Activity registered</t>
  </si>
  <si>
    <t>Aged Item clearing - Macro file Run</t>
  </si>
  <si>
    <t>Note - All metrics % are arrived based on Manual report which is tracked and reported to Business on daily basis.
Need support to get reports from Work flow/ERP to standardize the SLA calculation as per the SOW</t>
  </si>
  <si>
    <t>Lot Wash Invoice Processing - Turnaround Time</t>
  </si>
  <si>
    <t>Silver Rock Invoice Processing - Quality &amp; Accuracy</t>
  </si>
  <si>
    <t>Aug
Count</t>
  </si>
  <si>
    <t>Timeliness Of Query Response - Retail Upload</t>
  </si>
  <si>
    <t>Tower</t>
  </si>
  <si>
    <t>Subprocess</t>
  </si>
  <si>
    <t>In-scope/Out of Scope for Sutherland</t>
  </si>
  <si>
    <t>Measurement</t>
  </si>
  <si>
    <t>Why We Measure</t>
  </si>
  <si>
    <t xml:space="preserve">Invoice upload </t>
  </si>
  <si>
    <t>In Scope</t>
  </si>
  <si>
    <t>% Of invoice rejected Vs Processed</t>
  </si>
  <si>
    <t>To reduce invoice rejection by educating vendor to submit valid invoice to avoid rework</t>
  </si>
  <si>
    <t>Units registered in 'CLASS'</t>
  </si>
  <si>
    <t>SilverRock AP</t>
  </si>
  <si>
    <t>Claims Processing</t>
  </si>
  <si>
    <t>Average Tickets Per hour per Agent</t>
  </si>
  <si>
    <t>Productivity target expected from each agent</t>
  </si>
  <si>
    <t>18 Tickets</t>
  </si>
  <si>
    <t>Efficiency</t>
  </si>
  <si>
    <t xml:space="preserve">To improve the processing TAT </t>
  </si>
  <si>
    <t>AR</t>
  </si>
  <si>
    <t>Cash posting</t>
  </si>
  <si>
    <t>% Of Entry posted with in 24 hours</t>
  </si>
  <si>
    <t>CSAT and to avoid customer follow ups on payments made</t>
  </si>
  <si>
    <t>% Of Entry posted with expected accuracy</t>
  </si>
  <si>
    <t>Cash application</t>
  </si>
  <si>
    <t>% Of Checks actioned vs referred</t>
  </si>
  <si>
    <t>Reduce the dependency from onshore team</t>
  </si>
  <si>
    <t>Payment re-allocation</t>
  </si>
  <si>
    <t>% Of PCF Rejected vs Processed</t>
  </si>
  <si>
    <t>GA</t>
  </si>
  <si>
    <t>Month End Close</t>
  </si>
  <si>
    <t>Schedules,
Journals &amp; Reconciliation</t>
  </si>
  <si>
    <t>All activity completed as per milestone tracker</t>
  </si>
  <si>
    <t>Month close as per schedule</t>
  </si>
  <si>
    <t>JE Accuracy</t>
  </si>
  <si>
    <t>Customer Service</t>
  </si>
  <si>
    <t>Refund Query</t>
  </si>
  <si>
    <t>% Of Calls handled Vs offered</t>
  </si>
  <si>
    <t>CSAT</t>
  </si>
  <si>
    <t>Average Handling Time</t>
  </si>
  <si>
    <t>4 Mins/Call</t>
  </si>
  <si>
    <t>Layaway Refund (Check)</t>
  </si>
  <si>
    <t>Escheatment Inbox &amp; JE</t>
  </si>
  <si>
    <t>Auction JE</t>
  </si>
  <si>
    <t xml:space="preserve"> Cash Balancing - Drive Time (140 Stores)</t>
  </si>
  <si>
    <t>Sep
Count</t>
  </si>
  <si>
    <t>Average Handle - Nandhini</t>
  </si>
  <si>
    <t>Oct'23</t>
  </si>
  <si>
    <t>Lot Repair</t>
  </si>
  <si>
    <t>C101183509</t>
  </si>
  <si>
    <t>C101197213</t>
  </si>
  <si>
    <t>Sreevaisakh/Amasidda</t>
  </si>
  <si>
    <t>C101282527</t>
  </si>
  <si>
    <t>C101180918</t>
  </si>
  <si>
    <t>C101207550</t>
  </si>
  <si>
    <t>C101154373</t>
  </si>
  <si>
    <t>C101168855</t>
  </si>
  <si>
    <t>C101189175</t>
  </si>
  <si>
    <t>C101200375</t>
  </si>
  <si>
    <t xml:space="preserve">C101179500 </t>
  </si>
  <si>
    <t>C101207677</t>
  </si>
  <si>
    <t>C101294301</t>
  </si>
  <si>
    <t>C101297854</t>
  </si>
  <si>
    <t>C101311708</t>
  </si>
  <si>
    <t>C101317024</t>
  </si>
  <si>
    <t>C101317753</t>
  </si>
  <si>
    <t>C101330063</t>
  </si>
  <si>
    <t>C101346776</t>
  </si>
  <si>
    <t>It's too late now to fix it. advised to make sure all CarStar vendors are paid via ACH, not WEX</t>
  </si>
  <si>
    <t>C101358473</t>
  </si>
  <si>
    <t>Ann Maria Teresa</t>
  </si>
  <si>
    <t>C101350064</t>
  </si>
  <si>
    <t>It's too late now to fix it. advised to make sure Aamco should be paid through CC WEX if claim created after 6/22</t>
  </si>
  <si>
    <t>C101368128</t>
  </si>
  <si>
    <t>September</t>
  </si>
  <si>
    <t>C101385595</t>
  </si>
  <si>
    <t>C101365918</t>
  </si>
  <si>
    <t>N/A</t>
  </si>
  <si>
    <t>Ann Maria, Sruthi, and Sreevaisakh</t>
  </si>
  <si>
    <t>Advised team to not pull more than 20 tickets at a time and requested to pull only 20 tickets at a time</t>
  </si>
  <si>
    <t>C101367014</t>
  </si>
  <si>
    <t>C101391487</t>
  </si>
  <si>
    <t xml:space="preserve">C101382595 </t>
  </si>
  <si>
    <t>October</t>
  </si>
  <si>
    <t>C101396330</t>
  </si>
  <si>
    <t>C101352347</t>
  </si>
  <si>
    <t>C101412147</t>
  </si>
  <si>
    <t>C101400831</t>
  </si>
  <si>
    <t>C101418106</t>
  </si>
  <si>
    <t>C101416006</t>
  </si>
  <si>
    <t>C101420026</t>
  </si>
  <si>
    <t>C101417283</t>
  </si>
  <si>
    <t>C101417196</t>
  </si>
  <si>
    <t>GA Portfolio</t>
  </si>
  <si>
    <t>Total activity</t>
  </si>
  <si>
    <t>Activity Completed</t>
  </si>
  <si>
    <t>Activity Not Due</t>
  </si>
  <si>
    <t>Activity WIP</t>
  </si>
  <si>
    <t>Completion %</t>
  </si>
  <si>
    <t>Journal Entry – Monthly</t>
  </si>
  <si>
    <t>Reconciliation - Monthly</t>
  </si>
  <si>
    <t>Loan Accounting</t>
  </si>
  <si>
    <t>Backup %</t>
  </si>
  <si>
    <t>Journal Entry – Daily</t>
  </si>
  <si>
    <t>Journal Entry - Weekly</t>
  </si>
  <si>
    <t>Reconciliation - Weekly</t>
  </si>
  <si>
    <t>Reconciliation - Quarterly</t>
  </si>
  <si>
    <t>GA Retail Phase 1</t>
  </si>
  <si>
    <t>DAX ECR Upload - Daily</t>
  </si>
  <si>
    <t>GA Retail Phase 2</t>
  </si>
  <si>
    <t>Fixed Asset</t>
  </si>
  <si>
    <t>Oct
Count</t>
  </si>
  <si>
    <t>AP Retail Desk Team - Productivity Report</t>
  </si>
  <si>
    <t>Check Request - Received (DAX)</t>
  </si>
  <si>
    <t>Check Request - Received (CLASS)</t>
  </si>
  <si>
    <t>E-Check Received</t>
  </si>
  <si>
    <t>Old Tickets (Prior Day)</t>
  </si>
  <si>
    <t>New Tickets (Current Day)</t>
  </si>
  <si>
    <t>Processed Tickets</t>
  </si>
  <si>
    <t>Rejected Tickets</t>
  </si>
  <si>
    <t>Pending Tickets</t>
  </si>
  <si>
    <t>E-Checks Generated</t>
  </si>
  <si>
    <t>Learning Log</t>
  </si>
  <si>
    <t>Internal Errors Reported</t>
  </si>
  <si>
    <t>Client Errors Reported</t>
  </si>
  <si>
    <t>Quality Achieved</t>
  </si>
  <si>
    <t/>
  </si>
  <si>
    <t>AP Inventory Purchasing Team - Productivity Report</t>
  </si>
  <si>
    <t>Email Actioned</t>
  </si>
  <si>
    <t>Untouched Units (Prior Day)</t>
  </si>
  <si>
    <t>Units Received (Current Day)</t>
  </si>
  <si>
    <t>Units Rejected</t>
  </si>
  <si>
    <t>Handled by Buyer</t>
  </si>
  <si>
    <t>Pending for Confirmation (Current Day)</t>
  </si>
  <si>
    <t>AP Upload Desk Team - Productivity Report</t>
  </si>
  <si>
    <t>Untouched Uploads (Prior Day)</t>
  </si>
  <si>
    <t>Upload Received (Current Day)</t>
  </si>
  <si>
    <t>Upload Rejects</t>
  </si>
  <si>
    <t>Pending Uploads</t>
  </si>
  <si>
    <t>Emails Actioned</t>
  </si>
  <si>
    <t>CHARLOTTE</t>
  </si>
  <si>
    <t>FORTWORTH</t>
  </si>
  <si>
    <t>PHILADELPHIA</t>
  </si>
  <si>
    <t xml:space="preserve">STOCKBRIDGE </t>
  </si>
  <si>
    <t>OWINGS MILLS</t>
  </si>
  <si>
    <t>KUYKENDAHL</t>
  </si>
  <si>
    <t>PHOENIX</t>
  </si>
  <si>
    <t>TAMPA</t>
  </si>
  <si>
    <t>ORLANDO</t>
  </si>
  <si>
    <t>MEMPHIS</t>
  </si>
  <si>
    <t>COLUMBUS</t>
  </si>
  <si>
    <t>DENVER</t>
  </si>
  <si>
    <t>CICERO</t>
  </si>
  <si>
    <t>KANSAS CITY</t>
  </si>
  <si>
    <t>FONTANA</t>
  </si>
  <si>
    <t>LAS VEGAS</t>
  </si>
  <si>
    <t>DETROIT</t>
  </si>
  <si>
    <t>Total Error Count</t>
  </si>
  <si>
    <t>Total Error Rate</t>
  </si>
  <si>
    <t>AP Status Code</t>
  </si>
  <si>
    <t>Error Count</t>
  </si>
  <si>
    <t>Error Rate</t>
  </si>
  <si>
    <t>No Error</t>
  </si>
  <si>
    <t>ME</t>
  </si>
  <si>
    <t>MI</t>
  </si>
  <si>
    <t>NR</t>
  </si>
  <si>
    <t>WA</t>
  </si>
  <si>
    <t>WB</t>
  </si>
  <si>
    <t>WD</t>
  </si>
  <si>
    <t>WI</t>
  </si>
  <si>
    <t>WR</t>
  </si>
  <si>
    <t>WS</t>
  </si>
  <si>
    <t>WV</t>
  </si>
  <si>
    <t>Quality</t>
  </si>
  <si>
    <t>Total Volume</t>
  </si>
  <si>
    <t>Supported By BC Team</t>
  </si>
  <si>
    <t>Completion % (Suth. Team)</t>
  </si>
  <si>
    <t>Status to 'Error'</t>
  </si>
  <si>
    <t>OP Research Refund</t>
  </si>
  <si>
    <t>Wells Fargo Audit</t>
  </si>
  <si>
    <t>AR Audits</t>
  </si>
  <si>
    <t>Echecks Allocation</t>
  </si>
  <si>
    <t>Journal Entries - Monthly</t>
  </si>
  <si>
    <t>PR Account Corrections Support - MTD</t>
  </si>
  <si>
    <t>Opening Count</t>
  </si>
  <si>
    <t>Newly Assigned</t>
  </si>
  <si>
    <t>Nov
Count</t>
  </si>
  <si>
    <t>C101390485</t>
  </si>
  <si>
    <t>C101363573</t>
  </si>
  <si>
    <t>C101423771</t>
  </si>
  <si>
    <t>November</t>
  </si>
  <si>
    <t>C101439661</t>
  </si>
  <si>
    <t>C101435479</t>
  </si>
  <si>
    <t>C101416761</t>
  </si>
  <si>
    <t>Nov'23</t>
  </si>
  <si>
    <t>Completed - MTD</t>
  </si>
  <si>
    <t xml:space="preserve">CLASS check clearing </t>
  </si>
  <si>
    <t>Treasury reports</t>
  </si>
  <si>
    <t>Activities Handled</t>
  </si>
  <si>
    <t>Handled Store Count</t>
  </si>
  <si>
    <t>Assigned Store Count</t>
  </si>
  <si>
    <t>Hemachandran</t>
  </si>
  <si>
    <t>Indraprasad</t>
  </si>
  <si>
    <t>Mofica</t>
  </si>
  <si>
    <t>Ramya</t>
  </si>
  <si>
    <t>Sundharam</t>
  </si>
  <si>
    <t>Jaya keerthiga</t>
  </si>
  <si>
    <t>Vignesh B</t>
  </si>
  <si>
    <t>Productivity</t>
  </si>
  <si>
    <t>Highland</t>
  </si>
  <si>
    <t>HIGHLAND</t>
  </si>
  <si>
    <t>LW - Total</t>
  </si>
  <si>
    <t>C101121515</t>
  </si>
  <si>
    <t>Short Pay of $1.52</t>
  </si>
  <si>
    <t>C101129932</t>
  </si>
  <si>
    <t>Tires price not matched and other sales/services was quantity 1 in requested and 2 when adjusted resulting in SP of $15.51</t>
  </si>
  <si>
    <t>C101451658</t>
  </si>
  <si>
    <t>December</t>
  </si>
  <si>
    <t>CN03162846 - Invoice rejected for no claim approval, but was not attached or notated in C101451658. Rejection was incorrect, it should've been rejected for missing itemized list and handwritten vendor info and claim notated.</t>
  </si>
  <si>
    <t>C101449429</t>
  </si>
  <si>
    <t>Rejected for Claim already paid and missed to add invoice number in previously paid on column</t>
  </si>
  <si>
    <t>C101462919</t>
  </si>
  <si>
    <t>C101462919 - Sreevaisakh paid a claim that was in pending status waiting for Claims Adjuster review. This would've needed a kickback to the CA for authorization review before processing payment.</t>
  </si>
  <si>
    <t>C101398935</t>
  </si>
  <si>
    <t>WR ticket closed under LR</t>
  </si>
  <si>
    <t>C101462324</t>
  </si>
  <si>
    <t>Rejected C&amp;K invoice instead of issuing KB to POG for review</t>
  </si>
  <si>
    <t>C101456768</t>
  </si>
  <si>
    <t>WEX payment processed, but did not send to an email.</t>
  </si>
  <si>
    <t>Dec'23</t>
  </si>
  <si>
    <t>Within 24 hrs</t>
  </si>
  <si>
    <t>Above 48 hrs</t>
  </si>
  <si>
    <t>SLA Achieved</t>
  </si>
  <si>
    <t>Dec
Count</t>
  </si>
  <si>
    <t>Month End Closing</t>
  </si>
  <si>
    <t>Retail &amp; FA</t>
  </si>
  <si>
    <t>SilverRock</t>
  </si>
  <si>
    <t>Journal Entries</t>
  </si>
  <si>
    <t>Reporting</t>
  </si>
  <si>
    <t>Reconciliation</t>
  </si>
  <si>
    <t>MEC Activities</t>
  </si>
  <si>
    <t xml:space="preserve"> Non Po Tipalti</t>
  </si>
  <si>
    <t xml:space="preserve"> AR Audits</t>
  </si>
  <si>
    <t>Silver Rock - Processing</t>
  </si>
  <si>
    <t>Tipalti - Productivity Report</t>
  </si>
  <si>
    <t>Sent for Approval</t>
  </si>
  <si>
    <t>Disputed</t>
  </si>
  <si>
    <t>Deleted</t>
  </si>
  <si>
    <t>Invoice Actioned</t>
  </si>
  <si>
    <t xml:space="preserve">Phone Support  Volume/Quality Metrics </t>
  </si>
  <si>
    <t>Call Handling - AP</t>
  </si>
  <si>
    <t>Call Handling - PR</t>
  </si>
  <si>
    <t>Email Query - PR</t>
  </si>
  <si>
    <t>Email Query - AP</t>
  </si>
  <si>
    <t>Back End support - AP</t>
  </si>
  <si>
    <t>Back End support - PR</t>
  </si>
  <si>
    <t>CS Team - Productivity Report</t>
  </si>
  <si>
    <t>90005 Clearing</t>
  </si>
  <si>
    <t>Corp Statement BD Refresh</t>
  </si>
  <si>
    <t xml:space="preserve">Corp failed GoFi BD JEs </t>
  </si>
  <si>
    <t>Tickets Handled</t>
  </si>
  <si>
    <t>Processed a Firestone Store invoice as WEX CC Payment - CN02959692</t>
  </si>
  <si>
    <t>Processed payment for CN02850573 invoice, however, invoice belongs to claim C101266483 when referencing breakdown of repairs.</t>
  </si>
  <si>
    <t xml:space="preserve">Sruthi reached out to CA directly for immediate KB assistance. CA advised Sruthi that he was on a call and would be a few moments. Sruthi then proceeded to mark several consecutive messages important/urgent causing distraction to the CA. If in the even immediate action is needed, we AP should be reaching out to the LOD chat, not the individual adjuster. </t>
  </si>
  <si>
    <t>Associate done overpayment of $0.60</t>
  </si>
  <si>
    <t>We can find the claim with VIN but rejected as no claim approval and need to reassign it to Lot repair queue.</t>
  </si>
  <si>
    <t>Claim is denied for No invoice received; we need to do KB to authorize the claim</t>
  </si>
  <si>
    <t>WEX payment was issued to SR employee</t>
  </si>
  <si>
    <t>$100 not listed on invoice resulting in overpayment of $95.48</t>
  </si>
  <si>
    <t>Credit card was issued to SilverRock employee. Voided by SR leadership. Email will need to be updated and reissued to correct vendor.</t>
  </si>
  <si>
    <t>Claim was denied for No invoice received and need to do KB to authorize the claim but User rejected ticket for no claim approval</t>
  </si>
  <si>
    <t>Claim amount is more than 6K, we need to forward that claim to onshore leadership to process payment but Nithya approved the amount instead of forward the claim to onshore leadership</t>
  </si>
  <si>
    <t>CarStar vendor is paid via ACH to DrivenBrands Corp - Agent paid via WEX to the store.</t>
  </si>
  <si>
    <t>Aamco vendor is paid via WEX  - Agent paid via ACH.</t>
  </si>
  <si>
    <t>Claim amount is 6K, we need to forward that claim to onshore leadership to process payment but Nithya approved the amount instead of forward the claim to onshore leadership</t>
  </si>
  <si>
    <t>Rejected invoice for incorrect VIN# - Correct last 6 of VIN # is located on 1st page on invoice next to "Veh ID"</t>
  </si>
  <si>
    <t>Rejected invoice for missing total - Final total is handwritten on page 4 of invoice.</t>
  </si>
  <si>
    <t>Excessive ticket pulling. Only pull no more than 20 tickets at a time.</t>
  </si>
  <si>
    <t>Ann Maria Rejected it for missing invoice total but we can able to see invoice total in the invoice</t>
  </si>
  <si>
    <t>Matching customers address which was at the top of the invoice to the address in the claim. Vendors address was on the second page and an arrow pointing to the address stating it belonged to the vendor.</t>
  </si>
  <si>
    <t>Kicked back for no tax on inv but tax on claim there just on another line on the invoice.</t>
  </si>
  <si>
    <t>Credit adjusted claim for $16.35 when invoice is much higher than claim. This left the vendor being short paid and called in for remaining balance.</t>
  </si>
  <si>
    <t>Issued kickback to the incorrect adjuster</t>
  </si>
  <si>
    <t>Updated incorrect Invoice number while closing ticket in Viva</t>
  </si>
  <si>
    <t>Invoice number is not updated in RO column</t>
  </si>
  <si>
    <t>Issued kickback for claim is higher, but the claim needed no changes as the invoice had exact matching claim total under "adjustment"</t>
  </si>
  <si>
    <t>CN03108778 - C&amp;K parts invoice rejected instead of issuing KB to POG for shipping cost authorization review.</t>
  </si>
  <si>
    <t>CN03108766 - C&amp;K parts invoice rejected instead of issuing KB to POG for shipping cost authorization review.</t>
  </si>
  <si>
    <t>CN03108807 - C&amp;K parts invoice rejected instead of issuing KB to POG for shipping cost authorization review.</t>
  </si>
  <si>
    <t>Kickback for  claim higher, both invoices equaled the total in the claim.</t>
  </si>
  <si>
    <t>Payment issued using price quote document for Discount Tire - Discount Tire invoices should only be accepted if they specifically indicate as a final invoice.</t>
  </si>
  <si>
    <t>Cunningham Bros payment processing included approving a refund line of -$463.81, causing a short pay to the vendor. While the KB note from the POG agent may have been misinterpreted, as a genreal rule, please do not process lines that are for refunds. Indicated by Loss Code RRR</t>
  </si>
  <si>
    <t>MAACO invoice from ticket CN03121250 was not received from the authorized DrivenBrands Corp point of contact, John Lee, but was still used to process the claim. MAACO invoices need to be received from DrivenBrands Corp, and should not be accepted from a store location.</t>
  </si>
  <si>
    <t>LR ticket closed under warranty queue</t>
  </si>
  <si>
    <t>Ticket CN03129795 closed on 11/13 - Payment not processed for claim until 11/20 when vendor called looking for payment.</t>
  </si>
  <si>
    <t>Done overpayment</t>
  </si>
  <si>
    <t>C101463123</t>
  </si>
  <si>
    <t>Issued KB to CA for invoice missing vendor info. This would be a invoice rejection reason, not a KB. Also, the vendor info is on the invoice, the vendor name and phone number match from invoice to claim. The invoice should've been paid.</t>
  </si>
  <si>
    <t>C101471342</t>
  </si>
  <si>
    <t>Marked DTLR claim "Ready for Pickup" when processing payment for Verity inspection, causing miscommunication to the DriveTime lot expecting to pick up a vehicle which repair services have not been completed or paid for.</t>
  </si>
  <si>
    <t>C101466378</t>
  </si>
  <si>
    <t>Reporting - Bi Weekly</t>
  </si>
  <si>
    <t>Reporting - Monthly</t>
  </si>
  <si>
    <t>Monthly Report</t>
  </si>
  <si>
    <t>Quarterly Report</t>
  </si>
  <si>
    <t>Pending Invoices</t>
  </si>
  <si>
    <t xml:space="preserve">Draft GL research </t>
  </si>
  <si>
    <t xml:space="preserve">Escheatment decision </t>
  </si>
  <si>
    <t>Audit pull</t>
  </si>
  <si>
    <t>Anju Aravind</t>
  </si>
  <si>
    <t>Akshay Uralungal</t>
  </si>
  <si>
    <t>Akshay</t>
  </si>
  <si>
    <t>CN03287838</t>
  </si>
  <si>
    <r>
      <t>GA FR, FV &amp; Portfolio – Training Status</t>
    </r>
    <r>
      <rPr>
        <sz val="28"/>
        <color rgb="FF002060"/>
        <rFont val="Arial"/>
        <family val="2"/>
      </rPr>
      <t>​</t>
    </r>
  </si>
  <si>
    <t>Activity</t>
  </si>
  <si>
    <t>Total Activities</t>
  </si>
  <si>
    <t>Go Live</t>
  </si>
  <si>
    <t>Training In progress</t>
  </si>
  <si>
    <t>Training To be Scheduled</t>
  </si>
  <si>
    <t>Portfolio - Phase 1 &amp; 2</t>
  </si>
  <si>
    <t>Portfolio - Phase 3</t>
  </si>
  <si>
    <t>Portfolio - Phase 4.1</t>
  </si>
  <si>
    <t>Portfolio - Phase 4.2</t>
  </si>
  <si>
    <t>Portfolio - Phase 4.3</t>
  </si>
  <si>
    <r>
      <t>GA FR, FV &amp; Portfolio – SOP Status</t>
    </r>
    <r>
      <rPr>
        <sz val="28"/>
        <color rgb="FF002060"/>
        <rFont val="Arial"/>
        <family val="2"/>
      </rPr>
      <t>​</t>
    </r>
  </si>
  <si>
    <t>SOP Approved</t>
  </si>
  <si>
    <t>SOP WIP</t>
  </si>
  <si>
    <t>SOP in Internal Review</t>
  </si>
  <si>
    <t>SOP Internal Correction</t>
  </si>
  <si>
    <t>Waiting for Approval</t>
  </si>
  <si>
    <t>Total Activity​</t>
  </si>
  <si>
    <t>Activity Completed​</t>
  </si>
  <si>
    <t>Activity not due​</t>
  </si>
  <si>
    <t>WIP​</t>
  </si>
  <si>
    <t>Completion %​</t>
  </si>
  <si>
    <t>Quality %​</t>
  </si>
  <si>
    <t>GA SR</t>
  </si>
  <si>
    <t>Total​</t>
  </si>
  <si>
    <t>Feb'24</t>
  </si>
  <si>
    <t>Jan'24</t>
  </si>
  <si>
    <t>DI</t>
  </si>
  <si>
    <t>Arathi Ajayan</t>
  </si>
  <si>
    <t>Sriram</t>
  </si>
  <si>
    <t>Mar'24</t>
  </si>
  <si>
    <t>C101478053</t>
  </si>
  <si>
    <t>C101466647</t>
  </si>
  <si>
    <t>It's too late now to fix it</t>
  </si>
  <si>
    <t>C101503739</t>
  </si>
  <si>
    <t>CN03252310/T77611</t>
  </si>
  <si>
    <t>C101494362</t>
  </si>
  <si>
    <t>CN03267584/CN03275040/CN03275047</t>
  </si>
  <si>
    <t>C101499866</t>
  </si>
  <si>
    <t>Anju</t>
  </si>
  <si>
    <t>C101500428</t>
  </si>
  <si>
    <t>C101460130</t>
  </si>
  <si>
    <t>C101529761/CN03285680</t>
  </si>
  <si>
    <t>CN03287160</t>
  </si>
  <si>
    <t>C101525023</t>
  </si>
  <si>
    <t>T79631/CN03299882</t>
  </si>
  <si>
    <t>C101362704</t>
  </si>
  <si>
    <t>C101331181/CN03297814</t>
  </si>
  <si>
    <t>CN03305614</t>
  </si>
  <si>
    <t>CN03310904</t>
  </si>
  <si>
    <t>C101367998</t>
  </si>
  <si>
    <t>C101378136</t>
  </si>
  <si>
    <t>C101377326</t>
  </si>
  <si>
    <t>C101290333</t>
  </si>
  <si>
    <t>C101398576</t>
  </si>
  <si>
    <t>C101415632</t>
  </si>
  <si>
    <t>C101419805</t>
  </si>
  <si>
    <t>CN03322851</t>
  </si>
  <si>
    <t>Arathi</t>
  </si>
  <si>
    <t>CN03319566</t>
  </si>
  <si>
    <t>CN03317308</t>
  </si>
  <si>
    <t>C101558869</t>
  </si>
  <si>
    <t>C101434190</t>
  </si>
  <si>
    <t>Ann Maria T</t>
  </si>
  <si>
    <t>C101423425</t>
  </si>
  <si>
    <t>C101447308</t>
  </si>
  <si>
    <t>C101449309</t>
  </si>
  <si>
    <t>C101432450</t>
  </si>
  <si>
    <t>CN03334144</t>
  </si>
  <si>
    <t>CN03346391</t>
  </si>
  <si>
    <t>CN03346346</t>
  </si>
  <si>
    <t>Paymentus GoFI BD JEs</t>
  </si>
  <si>
    <t>Store Non Cash</t>
  </si>
  <si>
    <t>Divya</t>
  </si>
  <si>
    <t>Financial Reporting</t>
  </si>
  <si>
    <r>
      <t>F</t>
    </r>
    <r>
      <rPr>
        <sz val="11"/>
        <color theme="1"/>
        <rFont val="Calibri"/>
        <family val="2"/>
      </rPr>
      <t xml:space="preserve">air </t>
    </r>
    <r>
      <rPr>
        <sz val="11"/>
        <color rgb="FF000000"/>
        <rFont val="Calibri"/>
        <family val="2"/>
      </rPr>
      <t>V</t>
    </r>
    <r>
      <rPr>
        <sz val="11"/>
        <color theme="1"/>
        <rFont val="Calibri"/>
        <family val="2"/>
      </rPr>
      <t>alue</t>
    </r>
    <r>
      <rPr>
        <sz val="11"/>
        <color rgb="FF000000"/>
        <rFont val="Calibri"/>
        <family val="2"/>
      </rPr>
      <t xml:space="preserve"> - Phase 1</t>
    </r>
  </si>
  <si>
    <r>
      <t>F</t>
    </r>
    <r>
      <rPr>
        <sz val="11"/>
        <color theme="1"/>
        <rFont val="Calibri"/>
        <family val="2"/>
      </rPr>
      <t xml:space="preserve">air </t>
    </r>
    <r>
      <rPr>
        <sz val="11"/>
        <color rgb="FF000000"/>
        <rFont val="Calibri"/>
        <family val="2"/>
      </rPr>
      <t>V</t>
    </r>
    <r>
      <rPr>
        <sz val="11"/>
        <color theme="1"/>
        <rFont val="Calibri"/>
        <family val="2"/>
      </rPr>
      <t>alue</t>
    </r>
    <r>
      <rPr>
        <sz val="11"/>
        <color rgb="FF000000"/>
        <rFont val="Calibri"/>
        <family val="2"/>
      </rPr>
      <t xml:space="preserve"> - Phase 4.1</t>
    </r>
  </si>
  <si>
    <r>
      <t>F</t>
    </r>
    <r>
      <rPr>
        <sz val="11"/>
        <color theme="1"/>
        <rFont val="Calibri"/>
        <family val="2"/>
      </rPr>
      <t xml:space="preserve">air </t>
    </r>
    <r>
      <rPr>
        <sz val="11"/>
        <color rgb="FF000000"/>
        <rFont val="Calibri"/>
        <family val="2"/>
      </rPr>
      <t>V</t>
    </r>
    <r>
      <rPr>
        <sz val="11"/>
        <color theme="1"/>
        <rFont val="Calibri"/>
        <family val="2"/>
      </rPr>
      <t>alue</t>
    </r>
    <r>
      <rPr>
        <sz val="11"/>
        <color rgb="FF000000"/>
        <rFont val="Calibri"/>
        <family val="2"/>
      </rPr>
      <t xml:space="preserve"> - Phase 4.3</t>
    </r>
  </si>
  <si>
    <t>3 Mins/Call</t>
  </si>
  <si>
    <t>Rathika</t>
  </si>
  <si>
    <t>GTO - 144 Stores</t>
  </si>
  <si>
    <t>Done overpayment of $57.17</t>
  </si>
  <si>
    <t>Payment processed with invoice that has incorrect VIN# - should've been rejection to get VIN# corrected.</t>
  </si>
  <si>
    <t>Deductible is not denied while creating ST mobile claim line</t>
  </si>
  <si>
    <t>Did not add description to KB title when issuing for "Other" reason</t>
  </si>
  <si>
    <t>Done $12 overpayment</t>
  </si>
  <si>
    <t>Missed to update note in claim and upload invoice</t>
  </si>
  <si>
    <t>Payment sent to incorrect payee</t>
  </si>
  <si>
    <t>Rejected invoice as spam instead of processing payment. Invoice requirements appear to be met.</t>
  </si>
  <si>
    <t>Processed payment to incorrect Payee</t>
  </si>
  <si>
    <t>Labelled KB reason as "Other" for what should be "Parts total difference"</t>
  </si>
  <si>
    <t>Inspection line built for Verity instead of Centro. Recevied Centro invoice and issued KB instead of reauthorizing the inspection line and adjusting the payee to be Centro</t>
  </si>
  <si>
    <t>Short paid $1.88</t>
  </si>
  <si>
    <t>Notify payment by - selected as Fax instead of Email</t>
  </si>
  <si>
    <t>Tires line paid $0 resulting in $917.20 short pay</t>
  </si>
  <si>
    <t>missed paying for state fee resulting in $5 short pay</t>
  </si>
  <si>
    <t>Overpayment of $9.20 on PPM claim</t>
  </si>
  <si>
    <t>no discount applied</t>
  </si>
  <si>
    <t>12% discount applied to entire claim / did not match tire pricin</t>
  </si>
  <si>
    <t>did not matching tires pricing</t>
  </si>
  <si>
    <t>Overpayment - $70.17; Only have authorization for vehicle inspection, oil pan gasket/RR oil pan gasket  - 4863689 as updated invoice</t>
  </si>
  <si>
    <t>Rejected ticket that had 230 invoices on it. Ticket needed to be assigned to AP Senior to burst into the Warranty queue</t>
  </si>
  <si>
    <t>Short pay of $42.48</t>
  </si>
  <si>
    <t>Overpaid - Inv uploaded shows balance due of $970.96, but Anju paid $1,266.96</t>
  </si>
  <si>
    <t>Paid claim w/ store invoice resulting in overpayment of $239.83</t>
  </si>
  <si>
    <t>Excessive discount applied to pay for items not listed on invoice</t>
  </si>
  <si>
    <t>claim lines were matched to invoice and addtl disc was applied resulting in $71.24 short pay</t>
  </si>
  <si>
    <t>tire price not matched resulting in SP of $27.26</t>
  </si>
  <si>
    <t>Did not match tire pricing result or pay for state fee resulting in SP of $83.42</t>
  </si>
  <si>
    <t>Short pay done  for CKE</t>
  </si>
  <si>
    <t>LR ticket closed as WR</t>
  </si>
  <si>
    <t>C101555917</t>
  </si>
  <si>
    <t>Processed FS claim as Tolleson Frontline (Dealer instead of Servicer) with Credit Card pay method instead of ACH</t>
  </si>
  <si>
    <t>C101570257</t>
  </si>
  <si>
    <t>MR Tire paid through WEX</t>
  </si>
  <si>
    <t>C101563112</t>
  </si>
  <si>
    <t>Issued over payment</t>
  </si>
  <si>
    <t>C101577241</t>
  </si>
  <si>
    <t>Issued payment but invoice was  missing itemlist</t>
  </si>
  <si>
    <t>C101557842</t>
  </si>
  <si>
    <t>C101436982</t>
  </si>
  <si>
    <t>tires pricing not matched and addtl 12% to line disc applied resulting in SP</t>
  </si>
  <si>
    <t>C101456020</t>
  </si>
  <si>
    <t>Paid FS with store invoice resulting in overpayment of $71.28</t>
  </si>
  <si>
    <t>CN03362091</t>
  </si>
  <si>
    <t>Closed as paid for 1 claim, however, this is a Monro burst and should be reassigned to leadership</t>
  </si>
  <si>
    <t>C101582822</t>
  </si>
  <si>
    <t xml:space="preserve">Incorrect servicer for Take 5 - Correct servicer SR0200266 </t>
  </si>
  <si>
    <t>CN03371127</t>
  </si>
  <si>
    <t>overpaid by $138.34</t>
  </si>
  <si>
    <t>Apr'24</t>
  </si>
  <si>
    <t xml:space="preserve">           80.00 </t>
  </si>
  <si>
    <t xml:space="preserve">           50.00 </t>
  </si>
  <si>
    <t xml:space="preserve">           90.00 </t>
  </si>
  <si>
    <t xml:space="preserve">           35.00 </t>
  </si>
  <si>
    <t xml:space="preserve">                  -   </t>
  </si>
  <si>
    <t xml:space="preserve">           65.00 </t>
  </si>
  <si>
    <t xml:space="preserve">           57.50 </t>
  </si>
  <si>
    <t xml:space="preserve">           70.00 </t>
  </si>
  <si>
    <t xml:space="preserve">           15.00 </t>
  </si>
  <si>
    <t xml:space="preserve">           40.00 </t>
  </si>
  <si>
    <t xml:space="preserve">           30.00 </t>
  </si>
  <si>
    <t xml:space="preserve">         100.00 </t>
  </si>
  <si>
    <t>Reconciliation - Daily</t>
  </si>
  <si>
    <t>Fair Value</t>
  </si>
  <si>
    <t>Training Completed</t>
  </si>
  <si>
    <t>RWS Pending</t>
  </si>
  <si>
    <t>RWS Completed</t>
  </si>
  <si>
    <t>RWS Score pending</t>
  </si>
  <si>
    <t>RWS Cleared</t>
  </si>
  <si>
    <t>Fair Value - Phase 4.3</t>
  </si>
  <si>
    <t>          100%</t>
  </si>
  <si>
    <t>           100%</t>
  </si>
  <si>
    <t>Total Completed Activity</t>
  </si>
  <si>
    <t>Total Activity</t>
  </si>
  <si>
    <t>NA for March close</t>
  </si>
  <si>
    <t>Afsal</t>
  </si>
  <si>
    <t xml:space="preserve">WD </t>
  </si>
  <si>
    <t xml:space="preserve"> </t>
  </si>
  <si>
    <t>PR - Account Correction Team</t>
  </si>
  <si>
    <t>Contributor</t>
  </si>
  <si>
    <t>Nivil</t>
  </si>
  <si>
    <t>Anisha Chova</t>
  </si>
  <si>
    <t>Arshiya Barin A</t>
  </si>
  <si>
    <t>Baghya S</t>
  </si>
  <si>
    <t>Dhivya Rohit</t>
  </si>
  <si>
    <t>Deepika Kumar</t>
  </si>
  <si>
    <t>Status</t>
  </si>
  <si>
    <t>Responsible</t>
  </si>
  <si>
    <t>Dhanalakshmi</t>
  </si>
  <si>
    <t>Divya G</t>
  </si>
  <si>
    <t>Nadhiya K</t>
  </si>
  <si>
    <t>Nivil G Nair</t>
  </si>
  <si>
    <t>Sheary Henry T</t>
  </si>
  <si>
    <t>Other Tasks</t>
  </si>
  <si>
    <t>Sounthara R</t>
  </si>
  <si>
    <t>Pulling New Rejects (Daily)</t>
  </si>
  <si>
    <t>Leena</t>
  </si>
  <si>
    <t>Instructions:</t>
  </si>
  <si>
    <t>Payroll Deducts Day 1 (Prepare Upload)</t>
  </si>
  <si>
    <t>Sheary</t>
  </si>
  <si>
    <t>1)</t>
  </si>
  <si>
    <t>Enter current month (Day 1) date here --------------------------------------------------------------&gt;</t>
  </si>
  <si>
    <t>Payroll Deducts Day 1 (Verify &amp; Upload)</t>
  </si>
  <si>
    <t>2)</t>
  </si>
  <si>
    <r>
      <t xml:space="preserve">This sheet is password protected | </t>
    </r>
    <r>
      <rPr>
        <b/>
        <sz val="10"/>
        <color theme="0"/>
        <rFont val="Calibri"/>
        <family val="2"/>
        <scheme val="minor"/>
      </rPr>
      <t>123456789</t>
    </r>
    <r>
      <rPr>
        <sz val="10"/>
        <color theme="1"/>
        <rFont val="Calibri"/>
        <family val="2"/>
        <scheme val="minor"/>
      </rPr>
      <t xml:space="preserve"> (Password)</t>
    </r>
  </si>
  <si>
    <t>Carvana DMV Day 1 (Prepare Upload)</t>
  </si>
  <si>
    <t>Carvana DMV Day 1 (Verify &amp; Upload)</t>
  </si>
  <si>
    <t>3)</t>
  </si>
  <si>
    <t>Unhide the required columns only</t>
  </si>
  <si>
    <t>Completed Reports - MTD</t>
  </si>
  <si>
    <t>Pulling New Rejects</t>
  </si>
  <si>
    <t>Auction Report</t>
  </si>
  <si>
    <t>Payroll Deducts</t>
  </si>
  <si>
    <t>Shaw Report</t>
  </si>
  <si>
    <t>RCA List</t>
  </si>
  <si>
    <t>Carvana DMV</t>
  </si>
  <si>
    <t>DT DMV Tax</t>
  </si>
  <si>
    <t>DT Ancillary Tax</t>
  </si>
  <si>
    <t>DT DMV Fee</t>
  </si>
  <si>
    <t>Leena Priyadarsini</t>
  </si>
  <si>
    <t>Pradeep Vincent Raj</t>
  </si>
  <si>
    <t>Sun</t>
  </si>
  <si>
    <t>Mon</t>
  </si>
  <si>
    <t>Tue</t>
  </si>
  <si>
    <t>Wed</t>
  </si>
  <si>
    <t>Thu</t>
  </si>
  <si>
    <t>Fri</t>
  </si>
  <si>
    <t>Sat</t>
  </si>
  <si>
    <t xml:space="preserve">Pulling New Rejects
RCA List (1)
Shaw Report
Auction Report
Carvana DMV (2)
</t>
  </si>
  <si>
    <t>Pulling New Rejects
RCA List Day 2</t>
  </si>
  <si>
    <t xml:space="preserve">Pulling New Rejects
Payroll Deducts (1)
</t>
  </si>
  <si>
    <t xml:space="preserve">Pulling New Rejects
Payroll Deducts (2)
</t>
  </si>
  <si>
    <t>Pulling New Rejects
Auction report 
DT Ancillary Tax (1)</t>
  </si>
  <si>
    <t>Pulling New Rejects
DT Ancillary Tax (2)
DT DMV Tax (1)</t>
  </si>
  <si>
    <t>Pulling New Rejects
DT DMV Tax (2)</t>
  </si>
  <si>
    <t xml:space="preserve">Pulling New Rejects
</t>
  </si>
  <si>
    <t xml:space="preserve">Pulling New Rejects
Auction Report
</t>
  </si>
  <si>
    <t>Pulling New Rejects
DT DMV Fee (1)</t>
  </si>
  <si>
    <t>Pulling New Rejects
DT DMV Fee (2)</t>
  </si>
  <si>
    <t>Pulling New Rejects
carvana DMV Day (1)
Payroll Deducts (1)</t>
  </si>
  <si>
    <t>Between 24 hrs to 48 hrs</t>
  </si>
  <si>
    <t xml:space="preserve">WI </t>
  </si>
  <si>
    <t>Bridgecrest - Cash Balancing Team</t>
  </si>
  <si>
    <t>GTO Team</t>
  </si>
  <si>
    <t xml:space="preserve">         496.00 </t>
  </si>
  <si>
    <t xml:space="preserve">         396.00 </t>
  </si>
  <si>
    <t xml:space="preserve">         380.00 </t>
  </si>
  <si>
    <t xml:space="preserve">         384.00 </t>
  </si>
  <si>
    <t xml:space="preserve">         272.00 </t>
  </si>
  <si>
    <t xml:space="preserve">           66.50 </t>
  </si>
  <si>
    <t xml:space="preserve">           77.00 </t>
  </si>
  <si>
    <t xml:space="preserve">         115.00 </t>
  </si>
  <si>
    <t xml:space="preserve">           95.00 </t>
  </si>
  <si>
    <t xml:space="preserve">           60.00 </t>
  </si>
  <si>
    <t xml:space="preserve">           85.00 </t>
  </si>
  <si>
    <t xml:space="preserve">           10.00 </t>
  </si>
  <si>
    <t xml:space="preserve">           25.00 </t>
  </si>
  <si>
    <t xml:space="preserve">           20.00 </t>
  </si>
  <si>
    <t xml:space="preserve">     1,542.00 </t>
  </si>
  <si>
    <t xml:space="preserve">           91.00 </t>
  </si>
  <si>
    <t xml:space="preserve">           52.50 </t>
  </si>
  <si>
    <t xml:space="preserve">           17.50 </t>
  </si>
  <si>
    <t xml:space="preserve">             5.00 </t>
  </si>
  <si>
    <t xml:space="preserve">         108.00 </t>
  </si>
  <si>
    <t xml:space="preserve">     1,584.00 </t>
  </si>
  <si>
    <t xml:space="preserve">           62.50 </t>
  </si>
  <si>
    <t xml:space="preserve">           97.50 </t>
  </si>
  <si>
    <t xml:space="preserve">           32.50 </t>
  </si>
  <si>
    <t xml:space="preserve">           42.00 </t>
  </si>
  <si>
    <t xml:space="preserve">     2,252.50 </t>
  </si>
  <si>
    <t xml:space="preserve">                  -   </t>
  </si>
  <si>
    <t>C101569583</t>
  </si>
  <si>
    <t>FS Discount (RRCA1) was not applied prior to requesting leadership to pay. Email advised ok to pay FS 10061.77. This would have been an overpayment.</t>
  </si>
  <si>
    <t>CN03423522</t>
  </si>
  <si>
    <t>RF reopened ticket advising they did not have payment. Sreev closed ticket and marked private, no communication went to RF and the payment status was not requested to be checked</t>
  </si>
  <si>
    <t>C101562947/CN03435732</t>
  </si>
  <si>
    <t>Processed a MAACO invoice - In general, we only process MAACO invoices that are submitted from DrivenBrands corp office and should reject all others. Additionally, we've provided updates that we are currently withholding all payments to MAACO and CARSTAR. Tickets with these invoices should be placed on hold and reassigned to Cari leigh</t>
  </si>
  <si>
    <t>CN03443457</t>
  </si>
  <si>
    <t>Rejected for no claim approval, but both the invoice and the VIVA ticket indicate a claim, C101599350. Ticket should've been rejected for incorrect VIN and claim notated.</t>
  </si>
  <si>
    <t>CN03442035</t>
  </si>
  <si>
    <t>Done overpayment by $0.08</t>
  </si>
  <si>
    <t>CN03441928</t>
  </si>
  <si>
    <t>Done overpayment by $0.02</t>
  </si>
  <si>
    <t>C101549627</t>
  </si>
  <si>
    <t>Did not upload invoice to claim when processed on 03/21/2024</t>
  </si>
  <si>
    <t>CN03457577</t>
  </si>
  <si>
    <t>Short paid $52.07</t>
  </si>
  <si>
    <t>C101630839</t>
  </si>
  <si>
    <t>Paid claim using invoice that does not include vendor address or phone number.</t>
  </si>
  <si>
    <t>N/A for Apr Close</t>
  </si>
  <si>
    <t>GA Loan Accounting</t>
  </si>
  <si>
    <t>N/A for April Close</t>
  </si>
  <si>
    <t>May'24</t>
  </si>
  <si>
    <t>Team Contribution</t>
  </si>
  <si>
    <t>Work In Progress</t>
  </si>
  <si>
    <t>Lotwash Mails</t>
  </si>
  <si>
    <t>Identified Learning Opportunites</t>
  </si>
  <si>
    <t>Error Category</t>
  </si>
  <si>
    <t>Internal Errors reported | Lot Wash</t>
  </si>
  <si>
    <t>Client Errors reported | Lot Wash</t>
  </si>
  <si>
    <t>Quality Assurance</t>
  </si>
  <si>
    <t>Summary</t>
  </si>
  <si>
    <t>Total Completed</t>
  </si>
  <si>
    <t>Total WIP</t>
  </si>
  <si>
    <t>Total Errors</t>
  </si>
  <si>
    <t>Individual Contribution</t>
  </si>
  <si>
    <t>CS Team - Karthick</t>
  </si>
  <si>
    <t>CS Team - Pramod</t>
  </si>
  <si>
    <t>Central purchasing In Viva</t>
  </si>
  <si>
    <t>Reconcile in CP Expenses</t>
  </si>
  <si>
    <t>Error Description</t>
  </si>
  <si>
    <t>C101586407</t>
  </si>
  <si>
    <t>Please fill out the FS Tracker in its entierty. "Paid" disposition missing. See example claim.</t>
  </si>
  <si>
    <t>C101601113</t>
  </si>
  <si>
    <t>CN03463631</t>
  </si>
  <si>
    <t>This was an Emissions of Murray invoice. Emissions of Murray have several claims that must be paid from a single invoice. The invoice may be uploaded to each claim for payment. If a VIN is incorrect, that info should be provided to leadership for Vendor feedback.</t>
  </si>
  <si>
    <t>CN03475568</t>
  </si>
  <si>
    <t>Done overpayment by $1.19</t>
  </si>
  <si>
    <t>C101650800</t>
  </si>
  <si>
    <t>Paid a claim with no CN notated nor invoice uploaded</t>
  </si>
  <si>
    <t>C101636511</t>
  </si>
  <si>
    <t>Paid $6k</t>
  </si>
  <si>
    <t>C101643371</t>
  </si>
  <si>
    <t>Included special characters when ATP</t>
  </si>
  <si>
    <t>C101647016</t>
  </si>
  <si>
    <t>C101648061</t>
  </si>
  <si>
    <t>C101597478</t>
  </si>
  <si>
    <t>Closed Viva ticket CN03421414 as Paid and notated account but no payment made in claim</t>
  </si>
  <si>
    <t>C101539900</t>
  </si>
  <si>
    <t>LR state inspection inv line should have been built and paid; Invoice was rejected as no claim approval</t>
  </si>
  <si>
    <t xml:space="preserve">CN03502566 </t>
  </si>
  <si>
    <t>LR TIcket should have been bursted. It was not, causing only the first invoice to be paid.</t>
  </si>
  <si>
    <t>C101638942</t>
  </si>
  <si>
    <t>AAS should have been paid ACH. Wex was sent and reconciled. No further action needed.</t>
  </si>
  <si>
    <t>C101592117</t>
  </si>
  <si>
    <t>Ann Maria and Arathi</t>
  </si>
  <si>
    <t>Rejected invoice for missing totals. Totals were on page 5 of the PDF uploaded - listed as R/O totals $6,279.65</t>
  </si>
  <si>
    <t>C101657212</t>
  </si>
  <si>
    <t>Made an unnecessary credit adjust and paid the vendor less than what was owed.</t>
  </si>
  <si>
    <t>C101655042</t>
  </si>
  <si>
    <t>Sent WEX email to a blank address; RF did not receive</t>
  </si>
  <si>
    <t>CN03504703</t>
  </si>
  <si>
    <t>Rejected invoice for missing itemized list. This is a detail invoice and will only have the one line.</t>
  </si>
  <si>
    <t>C101659093</t>
  </si>
  <si>
    <t>C101605534</t>
  </si>
  <si>
    <t>Sent WEX email to a blank address; Midway did not receive</t>
  </si>
  <si>
    <t>C101662953</t>
  </si>
  <si>
    <t>Rejected invoice for missing VIN - last 6 of VIN is located under "Technician Comments" and matches claim.</t>
  </si>
  <si>
    <t>C101616662</t>
  </si>
  <si>
    <t>Incorrect FS servicer code SR10046620 when it should have been SR0025911</t>
  </si>
  <si>
    <t>C101644558</t>
  </si>
  <si>
    <t>Included special characterists  in invoice number when ATP</t>
  </si>
  <si>
    <t>C101611959</t>
  </si>
  <si>
    <t>Processed as ACH instead of WEX per 6/14/2024 Caliber Auto Care update</t>
  </si>
  <si>
    <t>C101645639</t>
  </si>
  <si>
    <t>Processed as INT with code SR10027019 instead of ACH with code SR0150909</t>
  </si>
  <si>
    <t>CN03509805/C101657526</t>
  </si>
  <si>
    <t>Rejected Warranty Inspection Services invoice for missing totals and uploaded to claim as a Pep Boys invoice. Total is on the invoice and should've been paid.</t>
  </si>
  <si>
    <t>Processed $6k+ payment</t>
  </si>
  <si>
    <t>Jun'24</t>
  </si>
  <si>
    <t xml:space="preserve">         276.00 </t>
  </si>
  <si>
    <t xml:space="preserve">         116.00 </t>
  </si>
  <si>
    <t xml:space="preserve">         344.00 </t>
  </si>
  <si>
    <t xml:space="preserve">         412.00 </t>
  </si>
  <si>
    <t xml:space="preserve">         771.00 </t>
  </si>
  <si>
    <t xml:space="preserve">         504.00 </t>
  </si>
  <si>
    <t xml:space="preserve">     1,614.00 </t>
  </si>
  <si>
    <t xml:space="preserve">     1,455.00 </t>
  </si>
  <si>
    <t xml:space="preserve">     1,566.00 </t>
  </si>
  <si>
    <t xml:space="preserve">     1,536.00 </t>
  </si>
  <si>
    <t xml:space="preserve">     1,575.00 </t>
  </si>
  <si>
    <t xml:space="preserve">     1,659.00 </t>
  </si>
  <si>
    <t xml:space="preserve">     1,655.50 </t>
  </si>
  <si>
    <t xml:space="preserve">         248.50 </t>
  </si>
  <si>
    <t xml:space="preserve">         185.50 </t>
  </si>
  <si>
    <t xml:space="preserve">           56.00 </t>
  </si>
  <si>
    <t xml:space="preserve">         175.00 </t>
  </si>
  <si>
    <t xml:space="preserve">           65.00 </t>
  </si>
  <si>
    <t xml:space="preserve">           77.50 </t>
  </si>
  <si>
    <t xml:space="preserve">           67.50 </t>
  </si>
  <si>
    <t xml:space="preserve">           23.00 </t>
  </si>
  <si>
    <t xml:space="preserve">     1,035.00 </t>
  </si>
  <si>
    <t xml:space="preserve">           36.00 </t>
  </si>
  <si>
    <t xml:space="preserve">             8.00 </t>
  </si>
  <si>
    <t xml:space="preserve">           41.00 </t>
  </si>
  <si>
    <t xml:space="preserve">     2,344.50 </t>
  </si>
  <si>
    <t xml:space="preserve">     1,943.50 </t>
  </si>
  <si>
    <t xml:space="preserve">     2,345.00 </t>
  </si>
  <si>
    <t xml:space="preserve">     2,254.00 </t>
  </si>
  <si>
    <t xml:space="preserve">     2,311.00 </t>
  </si>
  <si>
    <t xml:space="preserve">     2,251.00 </t>
  </si>
  <si>
    <t xml:space="preserve">    2,251.50 </t>
  </si>
  <si>
    <t xml:space="preserve">         856.00 </t>
  </si>
  <si>
    <t xml:space="preserve">         524.00 </t>
  </si>
  <si>
    <t xml:space="preserve">         140.00 </t>
  </si>
  <si>
    <t xml:space="preserve">         400.00 </t>
  </si>
  <si>
    <t xml:space="preserve">         308.00 </t>
  </si>
  <si>
    <t xml:space="preserve">         264.00 </t>
  </si>
  <si>
    <t xml:space="preserve">         424.00 </t>
  </si>
  <si>
    <t xml:space="preserve">         261.00 </t>
  </si>
  <si>
    <t xml:space="preserve">     1,701.00 </t>
  </si>
  <si>
    <t xml:space="preserve">     1,449.00 </t>
  </si>
  <si>
    <t xml:space="preserve">     1,590.00 </t>
  </si>
  <si>
    <t xml:space="preserve">     1,578.00 </t>
  </si>
  <si>
    <t xml:space="preserve">         192.00 </t>
  </si>
  <si>
    <t xml:space="preserve">     1,074.00 </t>
  </si>
  <si>
    <t xml:space="preserve">           10.50 </t>
  </si>
  <si>
    <t xml:space="preserve">         395.50 </t>
  </si>
  <si>
    <t xml:space="preserve">         178.50 </t>
  </si>
  <si>
    <t xml:space="preserve">         136.50 </t>
  </si>
  <si>
    <t xml:space="preserve">     1,862.00 </t>
  </si>
  <si>
    <t xml:space="preserve">         168.00 </t>
  </si>
  <si>
    <t xml:space="preserve">         172.00 </t>
  </si>
  <si>
    <t xml:space="preserve">         110.00 </t>
  </si>
  <si>
    <t xml:space="preserve">         175.00 </t>
  </si>
  <si>
    <t xml:space="preserve">         155.00 </t>
  </si>
  <si>
    <t xml:space="preserve">         180.00 </t>
  </si>
  <si>
    <t xml:space="preserve">                  -   </t>
  </si>
  <si>
    <t xml:space="preserve">         940.00 </t>
  </si>
  <si>
    <t xml:space="preserve">           16.00 </t>
  </si>
  <si>
    <t xml:space="preserve">     2,359.50 </t>
  </si>
  <si>
    <t xml:space="preserve">     2,702.50 </t>
  </si>
  <si>
    <t xml:space="preserve">     2,288.00 </t>
  </si>
  <si>
    <t xml:space="preserve">     2,311.50 </t>
  </si>
  <si>
    <t xml:space="preserve">     2,372.00 </t>
  </si>
  <si>
    <t xml:space="preserve">     1,838.50 </t>
  </si>
  <si>
    <t xml:space="preserve">         268.00 </t>
  </si>
  <si>
    <t xml:space="preserve">         780.00 </t>
  </si>
  <si>
    <t xml:space="preserve">         232.00 </t>
  </si>
  <si>
    <t xml:space="preserve">         368.00 </t>
  </si>
  <si>
    <t xml:space="preserve">         300.00 </t>
  </si>
  <si>
    <t xml:space="preserve">         476.00 </t>
  </si>
  <si>
    <t xml:space="preserve">         984.00 </t>
  </si>
  <si>
    <t xml:space="preserve">         639.00 </t>
  </si>
  <si>
    <t xml:space="preserve">     1,149.00 </t>
  </si>
  <si>
    <t xml:space="preserve">     1,296.00 </t>
  </si>
  <si>
    <t xml:space="preserve">     1,521.00 </t>
  </si>
  <si>
    <t xml:space="preserve">     1,395.00 </t>
  </si>
  <si>
    <t xml:space="preserve">         850.50 </t>
  </si>
  <si>
    <t xml:space="preserve">         129.50 </t>
  </si>
  <si>
    <t xml:space="preserve">         378.00 </t>
  </si>
  <si>
    <t xml:space="preserve">     1,529.50 </t>
  </si>
  <si>
    <t xml:space="preserve">         245.00 </t>
  </si>
  <si>
    <t xml:space="preserve">         227.50 </t>
  </si>
  <si>
    <t xml:space="preserve">         112.00 </t>
  </si>
  <si>
    <t xml:space="preserve">         210.00 </t>
  </si>
  <si>
    <t xml:space="preserve">         270.00 </t>
  </si>
  <si>
    <t xml:space="preserve">           12.50 </t>
  </si>
  <si>
    <t xml:space="preserve">           82.50 </t>
  </si>
  <si>
    <t xml:space="preserve">           72.50 </t>
  </si>
  <si>
    <t xml:space="preserve">                  -   </t>
  </si>
  <si>
    <t xml:space="preserve">           33.00 </t>
  </si>
  <si>
    <t xml:space="preserve">         952.00 </t>
  </si>
  <si>
    <t xml:space="preserve">     2,300.00 </t>
  </si>
  <si>
    <t xml:space="preserve">     2,261.00 </t>
  </si>
  <si>
    <t xml:space="preserve">     2,250.50 </t>
  </si>
  <si>
    <t xml:space="preserve">     2,328.50 </t>
  </si>
  <si>
    <t xml:space="preserve">     2,262.00 </t>
  </si>
  <si>
    <t xml:space="preserve">     2,051.00 </t>
  </si>
  <si>
    <t xml:space="preserve">     2,258.50 </t>
  </si>
  <si>
    <t xml:space="preserve">     2,283.50 </t>
  </si>
  <si>
    <t>Account Adjustment Team</t>
  </si>
  <si>
    <t>Individual Contributor</t>
  </si>
  <si>
    <t>Electronic 
Payment</t>
  </si>
  <si>
    <t>Additional 
Task</t>
  </si>
  <si>
    <t>Bot 01</t>
  </si>
  <si>
    <t>Manual</t>
  </si>
  <si>
    <t>Processed</t>
  </si>
  <si>
    <t>Accepted</t>
  </si>
  <si>
    <t>Anargah Devdas</t>
  </si>
  <si>
    <t>Chaitanya Suresh</t>
  </si>
  <si>
    <t>Deepthi Mariya Raju</t>
  </si>
  <si>
    <t>Kannan Sampath</t>
  </si>
  <si>
    <t>Keerthana S</t>
  </si>
  <si>
    <t>Madhani</t>
  </si>
  <si>
    <t xml:space="preserve">Mubashir T K </t>
  </si>
  <si>
    <t>Rohan Sathyalayam</t>
  </si>
  <si>
    <t>Shujiesna M</t>
  </si>
  <si>
    <t>Veena Sunil Kumar</t>
  </si>
  <si>
    <t xml:space="preserve">Yalla Krishna chaitanya </t>
  </si>
  <si>
    <t>Cash Balancing &amp; GTO Operations</t>
  </si>
  <si>
    <t>Blackline Research</t>
  </si>
  <si>
    <t>Kalpana</t>
  </si>
  <si>
    <t>User</t>
  </si>
  <si>
    <t>Voice Query</t>
  </si>
  <si>
    <t>Email Query</t>
  </si>
  <si>
    <t>Total Loss
Follow Up</t>
  </si>
  <si>
    <t>Weekly Check Pull 
(BCAC Check Run)</t>
  </si>
  <si>
    <t>BCAC Checking 
for Posted</t>
  </si>
  <si>
    <t>BCAC Approval
 in CLASS</t>
  </si>
  <si>
    <t>Returned Checks Log</t>
  </si>
  <si>
    <t>Voided Checks
 Log</t>
  </si>
  <si>
    <t>DAX 
(1001, 1003 &amp; 1004)</t>
  </si>
  <si>
    <t>Afreena Nasar Hussain</t>
  </si>
  <si>
    <t>Dharani Shree</t>
  </si>
  <si>
    <t>Nandhini JP</t>
  </si>
  <si>
    <t>Phone Support - Teams Productivity</t>
  </si>
  <si>
    <t>Email Support - Teams Productivity</t>
  </si>
  <si>
    <t>Backend Support - Teams Productivity</t>
  </si>
  <si>
    <t>GA Retail Reporting Phase 1</t>
  </si>
  <si>
    <t>Reporting - Weekly</t>
  </si>
  <si>
    <t>Individual</t>
  </si>
  <si>
    <t>Autopay failed</t>
  </si>
  <si>
    <t xml:space="preserve">GoFi BD JEs </t>
  </si>
  <si>
    <t>Autopay</t>
  </si>
  <si>
    <t>statement - NSF</t>
  </si>
  <si>
    <t xml:space="preserve">JEs </t>
  </si>
  <si>
    <t>statement -</t>
  </si>
  <si>
    <t>CLASS BDs</t>
  </si>
  <si>
    <t>Auction</t>
  </si>
  <si>
    <t>Daily Funding</t>
  </si>
  <si>
    <t>10551 Vehicle</t>
  </si>
  <si>
    <t>sellout clearing</t>
  </si>
  <si>
    <t>Driver clearing</t>
  </si>
  <si>
    <t>Ancillary batches</t>
  </si>
  <si>
    <t>(Weekly Activity)</t>
  </si>
  <si>
    <t>Volume</t>
  </si>
  <si>
    <t>Handled</t>
  </si>
  <si>
    <t>Activities</t>
  </si>
  <si>
    <t>Portfolio/FV &amp; FR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</si>
</sst>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44" formatCode="_(&quot;$&quot;* #,##0.00_);_(&quot;$&quot;* \(#,##0.00\);_(&quot;$&quot;* &quot;-&quot;??_);_(@_)"/>
    <numFmt numFmtId="43" formatCode="_(* #,##0.00_);_(* \(#,##0.00\);_(* &quot;-&quot;??_);_(@_)"/>
    <numFmt numFmtId="164" formatCode="mmm\-yyyy"/>
    <numFmt numFmtId="165" formatCode="_(* #,##0_);_(* \(#,##0\);_(* &quot;-&quot;??_);_(@_)"/>
    <numFmt numFmtId="166" formatCode="[$-409]mmm\-yy;@"/>
    <numFmt numFmtId="167" formatCode=";;;"/>
    <numFmt numFmtId="168" formatCode="[$-409]mmmm\-yy;@"/>
    <numFmt numFmtId="169" formatCode="[$-409]d\-mmm;@"/>
  </numFmts>
  <fonts count="80">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sz val="10"/>
      <color theme="1"/>
      <name val="Times New Roman"/>
      <family val="1"/>
    </font>
    <font>
      <b/>
      <sz val="11"/>
      <color rgb="FF000000"/>
      <name val="Calibri"/>
      <family val="2"/>
    </font>
    <font>
      <b/>
      <sz val="10"/>
      <color theme="1"/>
      <name val="Arial"/>
      <family val="2"/>
    </font>
    <font>
      <sz val="10"/>
      <color theme="1"/>
      <name val="Arial"/>
      <family val="2"/>
    </font>
    <font>
      <sz val="10"/>
      <name val="Arial"/>
      <family val="2"/>
    </font>
    <font>
      <b/>
      <sz val="12"/>
      <color rgb="FF000000"/>
      <name val="Calibri"/>
      <family val="2"/>
    </font>
    <font>
      <sz val="11"/>
      <color rgb="FFFF0000"/>
      <name val="Calibri"/>
      <family val="2"/>
      <scheme val="minor"/>
    </font>
    <font>
      <sz val="10"/>
      <color rgb="FF000000"/>
      <name val="Calibri"/>
      <family val="2"/>
    </font>
    <font>
      <sz val="12"/>
      <color rgb="FF000000"/>
      <name val="Calibri"/>
      <family val="2"/>
    </font>
    <font>
      <sz val="10"/>
      <color theme="1"/>
      <name val="Calibri"/>
      <family val="2"/>
      <scheme val="minor"/>
    </font>
    <font>
      <b/>
      <sz val="14"/>
      <color rgb="FF000000"/>
      <name val="Calibri"/>
      <family val="2"/>
    </font>
    <font>
      <sz val="12"/>
      <color theme="1"/>
      <name val="Calibri"/>
      <family val="2"/>
      <scheme val="minor"/>
    </font>
    <font>
      <sz val="11"/>
      <color rgb="FF006100"/>
      <name val="Calibri"/>
      <family val="2"/>
      <scheme val="minor"/>
    </font>
    <font>
      <b/>
      <sz val="10"/>
      <color theme="1"/>
      <name val="Calibri"/>
      <family val="2"/>
      <scheme val="minor"/>
    </font>
    <font>
      <b/>
      <sz val="11"/>
      <color theme="3"/>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b/>
      <sz val="12"/>
      <color theme="1"/>
      <name val="Calibri"/>
      <family val="2"/>
      <scheme val="minor"/>
    </font>
    <font>
      <sz val="11"/>
      <color theme="1"/>
      <name val="Calibri"/>
      <family val="2"/>
    </font>
    <font>
      <sz val="18"/>
      <color rgb="FF000000"/>
      <name val="Calibri"/>
      <family val="2"/>
    </font>
    <font>
      <b/>
      <sz val="11"/>
      <color rgb="FFFFFFFF"/>
      <name val="Calibri"/>
      <family val="2"/>
    </font>
    <font>
      <sz val="11"/>
      <color rgb="FFFFFFFF"/>
      <name val="Calibri"/>
      <family val="2"/>
    </font>
    <font>
      <sz val="11"/>
      <color rgb="FF3F3F76"/>
      <name val="Calibri"/>
      <family val="2"/>
    </font>
    <font>
      <b/>
      <sz val="11"/>
      <color rgb="FF000000"/>
      <name val="Arial Body"/>
    </font>
    <font>
      <sz val="11"/>
      <color rgb="FF000000"/>
      <name val="Arial Body"/>
    </font>
    <font>
      <sz val="11"/>
      <color rgb="FF000000"/>
      <name val="Calibri"/>
      <family val="2"/>
      <scheme val="minor"/>
    </font>
    <font>
      <b/>
      <sz val="10"/>
      <color rgb="FF000000"/>
      <name val="Arial"/>
      <family val="2"/>
    </font>
    <font>
      <sz val="10"/>
      <color rgb="FF000000"/>
      <name val="Arial"/>
      <family val="2"/>
    </font>
    <font>
      <sz val="10"/>
      <name val="Calibri"/>
      <family val="2"/>
      <scheme val="minor"/>
    </font>
    <font>
      <strike/>
      <sz val="10"/>
      <color rgb="FF000000"/>
      <name val="Arial"/>
      <family val="2"/>
    </font>
    <font>
      <b/>
      <sz val="11"/>
      <color rgb="FFFFFFFF"/>
      <name val="Arial"/>
      <family val="2"/>
    </font>
    <font>
      <sz val="11"/>
      <color rgb="FF000000"/>
      <name val="Arial"/>
      <family val="2"/>
    </font>
    <font>
      <b/>
      <sz val="11"/>
      <color rgb="FF002060"/>
      <name val="Arial"/>
      <family val="2"/>
    </font>
    <font>
      <sz val="11"/>
      <color theme="1"/>
      <name val="Arial"/>
      <family val="2"/>
    </font>
    <font>
      <sz val="9"/>
      <color indexed="81"/>
      <name val="Tahoma"/>
      <family val="2"/>
    </font>
    <font>
      <b/>
      <sz val="9"/>
      <color indexed="81"/>
      <name val="Tahoma"/>
      <family val="2"/>
    </font>
    <font>
      <sz val="8"/>
      <name val="Calibri"/>
      <family val="2"/>
      <scheme val="minor"/>
    </font>
    <font>
      <u/>
      <sz val="11"/>
      <color theme="1"/>
      <name val="Calibri"/>
      <family val="2"/>
      <scheme val="minor"/>
    </font>
    <font>
      <sz val="11"/>
      <color rgb="FF000000"/>
      <name val="Calibri"/>
      <family val="2"/>
      <charset val="1"/>
      <scheme val="minor"/>
    </font>
    <font>
      <b/>
      <sz val="14"/>
      <color theme="1"/>
      <name val="Calibri"/>
      <family val="2"/>
      <scheme val="minor"/>
    </font>
    <font>
      <b/>
      <sz val="10"/>
      <color theme="0"/>
      <name val="Calibri"/>
      <family val="2"/>
      <scheme val="minor"/>
    </font>
    <font>
      <sz val="12"/>
      <color theme="1"/>
      <name val="Calibri"/>
      <family val="2"/>
    </font>
    <font>
      <b/>
      <sz val="11"/>
      <color theme="1"/>
      <name val="Calibri"/>
      <family val="2"/>
    </font>
    <font>
      <sz val="28"/>
      <color rgb="FF002060"/>
      <name val="Arial"/>
      <family val="2"/>
    </font>
    <font>
      <b/>
      <sz val="13"/>
      <color rgb="FFFFFFFF"/>
      <name val="Calibri"/>
      <family val="2"/>
    </font>
    <font>
      <sz val="11"/>
      <color theme="1"/>
      <name val="Aptos"/>
      <family val="2"/>
    </font>
    <font>
      <u/>
      <sz val="11"/>
      <color theme="1"/>
      <name val="Aptos"/>
      <family val="2"/>
    </font>
    <font>
      <b/>
      <sz val="11"/>
      <color rgb="FFFFFFFF"/>
      <name val="Aptos"/>
      <family val="2"/>
    </font>
    <font>
      <sz val="11"/>
      <color rgb="FF000000"/>
      <name val="Aptos"/>
      <family val="2"/>
    </font>
    <font>
      <b/>
      <sz val="13"/>
      <color rgb="FFFFFFFF"/>
      <name val="Arial"/>
      <family val="2"/>
    </font>
    <font>
      <b/>
      <sz val="13"/>
      <color rgb="FF000000"/>
      <name val="Arial"/>
      <family val="2"/>
    </font>
    <font>
      <sz val="11"/>
      <name val="Calibri"/>
      <family val="2"/>
      <scheme val="minor"/>
    </font>
    <font>
      <sz val="11"/>
      <color rgb="FF000000"/>
      <name val="Aptos Narrow"/>
      <family val="2"/>
    </font>
    <font>
      <sz val="9"/>
      <color rgb="FF000000"/>
      <name val="Verdana"/>
      <family val="2"/>
    </font>
    <font>
      <b/>
      <sz val="11"/>
      <color rgb="FF9C0006"/>
      <name val="Calibri"/>
      <family val="2"/>
    </font>
    <font>
      <b/>
      <sz val="12"/>
      <color theme="0"/>
      <name val="Calibri"/>
      <family val="2"/>
      <scheme val="minor"/>
    </font>
    <font>
      <b/>
      <sz val="10"/>
      <color rgb="FFC00000"/>
      <name val="Calibri"/>
      <family val="2"/>
      <scheme val="minor"/>
    </font>
    <font>
      <sz val="10"/>
      <color rgb="FF9C0006"/>
      <name val="Calibri"/>
      <family val="2"/>
      <scheme val="minor"/>
    </font>
    <font>
      <b/>
      <sz val="9"/>
      <color theme="1"/>
      <name val="Calibri"/>
      <family val="2"/>
      <scheme val="minor"/>
    </font>
    <font>
      <b/>
      <sz val="16"/>
      <color theme="0"/>
      <name val="Calibri"/>
      <family val="2"/>
    </font>
    <font>
      <b/>
      <sz val="9"/>
      <color rgb="FF000000"/>
      <name val="Arial"/>
      <charset val="1"/>
    </font>
    <font>
      <b/>
      <sz val="12"/>
      <color rgb="FFFFFFFF"/>
      <name val="Calibri"/>
      <family val="2"/>
    </font>
    <font>
      <b/>
      <sz val="10"/>
      <color rgb="FFFFFFFF"/>
      <name val="Calibri"/>
      <family val="2"/>
    </font>
    <font>
      <b/>
      <sz val="10"/>
      <color rgb="FF000000"/>
      <name val="Calibri"/>
      <family val="2"/>
    </font>
    <font>
      <sz val="10"/>
      <color rgb="FF006100"/>
      <name val="Calibri"/>
      <family val="2"/>
    </font>
    <font>
      <b/>
      <sz val="10"/>
      <color rgb="FF006100"/>
      <name val="Calibri"/>
      <family val="2"/>
    </font>
  </fonts>
  <fills count="81">
    <fill>
      <patternFill patternType="none"/>
    </fill>
    <fill>
      <patternFill patternType="gray125"/>
    </fill>
    <fill>
      <patternFill patternType="solid">
        <fgColor theme="5" tint="0.59999389629810485"/>
        <bgColor indexed="64"/>
      </patternFill>
    </fill>
    <fill>
      <patternFill patternType="solid">
        <fgColor theme="0" tint="-4.9989318521683403E-2"/>
        <bgColor indexed="64"/>
      </patternFill>
    </fill>
    <fill>
      <patternFill patternType="solid">
        <fgColor rgb="FFF8CBAD"/>
        <bgColor indexed="64"/>
      </patternFill>
    </fill>
    <fill>
      <patternFill patternType="solid">
        <fgColor rgb="FF92D050"/>
        <bgColor indexed="64"/>
      </patternFill>
    </fill>
    <fill>
      <patternFill patternType="solid">
        <fgColor theme="0"/>
        <bgColor indexed="64"/>
      </patternFill>
    </fill>
    <fill>
      <patternFill patternType="solid">
        <fgColor theme="3" tint="0.59999389629810485"/>
        <bgColor indexed="64"/>
      </patternFill>
    </fill>
    <fill>
      <patternFill patternType="solid">
        <fgColor rgb="FFA9D08E"/>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7" tint="0.79998168889431442"/>
        <bgColor indexed="64"/>
      </patternFill>
    </fill>
    <fill>
      <patternFill patternType="solid">
        <fgColor rgb="FFB4C6E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E699"/>
        <bgColor indexed="64"/>
      </patternFill>
    </fill>
    <fill>
      <patternFill patternType="solid">
        <fgColor rgb="FF4472C4"/>
        <bgColor indexed="64"/>
      </patternFill>
    </fill>
    <fill>
      <patternFill patternType="solid">
        <fgColor rgb="FFD9E1F2"/>
        <bgColor indexed="64"/>
      </patternFill>
    </fill>
    <fill>
      <patternFill patternType="solid">
        <fgColor rgb="FFFFFFFF"/>
        <bgColor indexed="64"/>
      </patternFill>
    </fill>
    <fill>
      <patternFill patternType="solid">
        <fgColor theme="7" tint="0.59999389629810485"/>
        <bgColor indexed="64"/>
      </patternFill>
    </fill>
    <fill>
      <patternFill patternType="solid">
        <fgColor rgb="FFFF0000"/>
        <bgColor indexed="64"/>
      </patternFill>
    </fill>
    <fill>
      <gradientFill type="path" left="0.5" right="0.5" top="0.5" bottom="0.5">
        <stop position="0">
          <color theme="0"/>
        </stop>
        <stop position="1">
          <color rgb="FFFFFF00"/>
        </stop>
      </gradientFill>
    </fill>
    <fill>
      <patternFill patternType="solid">
        <fgColor rgb="FFFFC000"/>
        <bgColor indexed="64"/>
      </patternFill>
    </fill>
    <fill>
      <patternFill patternType="solid">
        <fgColor rgb="FFD9D9D9"/>
        <bgColor indexed="64"/>
      </patternFill>
    </fill>
    <fill>
      <patternFill patternType="solid">
        <fgColor rgb="FF26235D"/>
        <bgColor indexed="64"/>
      </patternFill>
    </fill>
    <fill>
      <patternFill patternType="solid">
        <fgColor rgb="FFD3E4F4"/>
        <bgColor indexed="64"/>
      </patternFill>
    </fill>
    <fill>
      <patternFill patternType="solid">
        <fgColor rgb="FFD9E2F3"/>
        <bgColor indexed="64"/>
      </patternFill>
    </fill>
    <fill>
      <patternFill patternType="solid">
        <fgColor theme="9" tint="0.79998168889431442"/>
        <bgColor indexed="64"/>
      </patternFill>
    </fill>
    <fill>
      <patternFill patternType="solid">
        <fgColor rgb="FF002060"/>
        <bgColor indexed="64"/>
      </patternFill>
    </fill>
    <fill>
      <patternFill patternType="solid">
        <fgColor rgb="FFA9D08E"/>
        <bgColor rgb="FF000000"/>
      </patternFill>
    </fill>
    <fill>
      <patternFill patternType="solid">
        <fgColor rgb="FFE2EFDA"/>
        <bgColor rgb="FF000000"/>
      </patternFill>
    </fill>
    <fill>
      <patternFill patternType="solid">
        <fgColor theme="9" tint="0.59999389629810485"/>
        <bgColor indexed="64"/>
      </patternFill>
    </fill>
    <fill>
      <patternFill patternType="solid">
        <fgColor rgb="FFFFF5CC"/>
        <bgColor rgb="FF000000"/>
      </patternFill>
    </fill>
    <fill>
      <patternFill patternType="solid">
        <fgColor rgb="FFEDEDED"/>
        <bgColor rgb="FF000000"/>
      </patternFill>
    </fill>
    <fill>
      <patternFill patternType="solid">
        <fgColor rgb="FF0B3D6A"/>
        <bgColor indexed="64"/>
      </patternFill>
    </fill>
    <fill>
      <patternFill patternType="solid">
        <fgColor rgb="FFE7F3DA"/>
        <bgColor indexed="64"/>
      </patternFill>
    </fill>
    <fill>
      <patternFill patternType="solid">
        <fgColor rgb="FF92D050"/>
        <bgColor rgb="FF000000"/>
      </patternFill>
    </fill>
    <fill>
      <patternFill patternType="solid">
        <fgColor theme="8" tint="0.79998168889431442"/>
        <bgColor indexed="64"/>
      </patternFill>
    </fill>
    <fill>
      <patternFill patternType="solid">
        <fgColor rgb="FFFFC7CE"/>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499984740745262"/>
        <bgColor indexed="64"/>
      </patternFill>
    </fill>
    <fill>
      <patternFill patternType="solid">
        <fgColor rgb="FF404040"/>
        <bgColor indexed="64"/>
      </patternFill>
    </fill>
    <fill>
      <patternFill patternType="solid">
        <fgColor rgb="FFFFF2CC"/>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C6EFCE"/>
        <bgColor indexed="64"/>
      </patternFill>
    </fill>
    <fill>
      <patternFill patternType="solid">
        <fgColor rgb="FFF2F2F2"/>
        <bgColor indexed="64"/>
      </patternFill>
    </fill>
    <fill>
      <patternFill patternType="solid">
        <fgColor rgb="FFDDEBF7"/>
        <bgColor indexed="64"/>
      </patternFill>
    </fill>
  </fills>
  <borders count="61">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style="medium">
        <color rgb="FF000000"/>
      </left>
      <right/>
      <top/>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right style="medium">
        <color rgb="FF000000"/>
      </right>
      <top style="medium">
        <color indexed="64"/>
      </top>
      <bottom style="medium">
        <color indexed="64"/>
      </bottom>
      <diagonal/>
    </border>
    <border>
      <left/>
      <right style="medium">
        <color rgb="FF7F7F7F"/>
      </right>
      <top/>
      <bottom style="medium">
        <color rgb="FF7F7F7F"/>
      </bottom>
      <diagonal/>
    </border>
    <border>
      <left style="medium">
        <color indexed="64"/>
      </left>
      <right style="medium">
        <color indexed="64"/>
      </right>
      <top/>
      <bottom style="medium">
        <color rgb="FF000000"/>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000000"/>
      </left>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medium">
        <color rgb="FF808080"/>
      </left>
      <right/>
      <top/>
      <bottom/>
      <diagonal/>
    </border>
    <border>
      <left/>
      <right style="medium">
        <color rgb="FF808080"/>
      </right>
      <top/>
      <bottom/>
      <diagonal/>
    </border>
    <border>
      <left/>
      <right/>
      <top style="medium">
        <color rgb="FFFFF2CC"/>
      </top>
      <bottom/>
      <diagonal/>
    </border>
    <border>
      <left style="medium">
        <color rgb="FFFFD966"/>
      </left>
      <right style="medium">
        <color rgb="FFFFD966"/>
      </right>
      <top/>
      <bottom/>
      <diagonal/>
    </border>
    <border>
      <left/>
      <right style="medium">
        <color rgb="FFFFD966"/>
      </right>
      <top/>
      <bottom/>
      <diagonal/>
    </border>
    <border>
      <left style="medium">
        <color rgb="FF808080"/>
      </left>
      <right/>
      <top style="medium">
        <color rgb="FFFFE699"/>
      </top>
      <bottom style="medium">
        <color rgb="FFFFE699"/>
      </bottom>
      <diagonal/>
    </border>
    <border>
      <left style="medium">
        <color rgb="FFFFD966"/>
      </left>
      <right style="medium">
        <color rgb="FFFFD966"/>
      </right>
      <top style="medium">
        <color rgb="FFFFE699"/>
      </top>
      <bottom style="medium">
        <color rgb="FFFFE699"/>
      </bottom>
      <diagonal/>
    </border>
    <border>
      <left/>
      <right style="medium">
        <color rgb="FFFFD966"/>
      </right>
      <top style="medium">
        <color rgb="FFFFE699"/>
      </top>
      <bottom style="medium">
        <color rgb="FFFFE699"/>
      </bottom>
      <diagonal/>
    </border>
    <border>
      <left style="medium">
        <color rgb="FF808080"/>
      </left>
      <right/>
      <top/>
      <bottom style="medium">
        <color rgb="FF808080"/>
      </bottom>
      <diagonal/>
    </border>
    <border>
      <left style="medium">
        <color rgb="FFFFD966"/>
      </left>
      <right style="medium">
        <color rgb="FFFFD966"/>
      </right>
      <top/>
      <bottom style="medium">
        <color rgb="FF808080"/>
      </bottom>
      <diagonal/>
    </border>
    <border>
      <left/>
      <right style="medium">
        <color rgb="FFFFD966"/>
      </right>
      <top/>
      <bottom style="medium">
        <color rgb="FF808080"/>
      </bottom>
      <diagonal/>
    </border>
    <border>
      <left/>
      <right/>
      <top/>
      <bottom style="medium">
        <color rgb="FFFFF2CC"/>
      </bottom>
      <diagonal/>
    </border>
    <border>
      <left/>
      <right style="medium">
        <color rgb="FF000000"/>
      </right>
      <top/>
      <bottom style="medium">
        <color indexed="64"/>
      </bottom>
      <diagonal/>
    </border>
    <border>
      <left style="medium">
        <color rgb="FF000000"/>
      </left>
      <right/>
      <top/>
      <bottom style="medium">
        <color indexed="64"/>
      </bottom>
      <diagonal/>
    </border>
    <border>
      <left/>
      <right/>
      <top style="medium">
        <color indexed="64"/>
      </top>
      <bottom style="medium">
        <color indexed="64"/>
      </bottom>
      <diagonal/>
    </border>
  </borders>
  <cellStyleXfs count="50">
    <xf numFmtId="0" fontId="0" fillId="0" borderId="0"/>
    <xf numFmtId="9" fontId="3" fillId="0" borderId="0" applyFont="0" applyFill="0" applyBorder="0" applyAlignment="0" applyProtection="0"/>
    <xf numFmtId="0" fontId="16" fillId="13" borderId="0" applyNumberFormat="0" applyBorder="0" applyAlignment="0" applyProtection="0"/>
    <xf numFmtId="0" fontId="19" fillId="0" borderId="0" applyNumberFormat="0" applyFill="0" applyBorder="0" applyAlignment="0" applyProtection="0"/>
    <xf numFmtId="0" fontId="20" fillId="0" borderId="22" applyNumberFormat="0" applyFill="0" applyAlignment="0" applyProtection="0"/>
    <xf numFmtId="0" fontId="21" fillId="0" borderId="23" applyNumberFormat="0" applyFill="0" applyAlignment="0" applyProtection="0"/>
    <xf numFmtId="0" fontId="18" fillId="0" borderId="24" applyNumberFormat="0" applyFill="0" applyAlignment="0" applyProtection="0"/>
    <xf numFmtId="0" fontId="18" fillId="0" borderId="0" applyNumberFormat="0" applyFill="0" applyBorder="0" applyAlignment="0" applyProtection="0"/>
    <xf numFmtId="0" fontId="22" fillId="14" borderId="0" applyNumberFormat="0" applyBorder="0" applyAlignment="0" applyProtection="0"/>
    <xf numFmtId="0" fontId="23" fillId="15" borderId="0" applyNumberFormat="0" applyBorder="0" applyAlignment="0" applyProtection="0"/>
    <xf numFmtId="0" fontId="24" fillId="16" borderId="25" applyNumberFormat="0" applyAlignment="0" applyProtection="0"/>
    <xf numFmtId="0" fontId="25" fillId="17" borderId="26" applyNumberFormat="0" applyAlignment="0" applyProtection="0"/>
    <xf numFmtId="0" fontId="26" fillId="17" borderId="25" applyNumberFormat="0" applyAlignment="0" applyProtection="0"/>
    <xf numFmtId="0" fontId="27" fillId="0" borderId="27" applyNumberFormat="0" applyFill="0" applyAlignment="0" applyProtection="0"/>
    <xf numFmtId="0" fontId="28" fillId="18" borderId="28" applyNumberFormat="0" applyAlignment="0" applyProtection="0"/>
    <xf numFmtId="0" fontId="10" fillId="0" borderId="0" applyNumberFormat="0" applyFill="0" applyBorder="0" applyAlignment="0" applyProtection="0"/>
    <xf numFmtId="0" fontId="3" fillId="19" borderId="29" applyNumberFormat="0" applyFont="0" applyAlignment="0" applyProtection="0"/>
    <xf numFmtId="0" fontId="29" fillId="0" borderId="0" applyNumberFormat="0" applyFill="0" applyBorder="0" applyAlignment="0" applyProtection="0"/>
    <xf numFmtId="0" fontId="1" fillId="0" borderId="30" applyNumberFormat="0" applyFill="0" applyAlignment="0" applyProtection="0"/>
    <xf numFmtId="0" fontId="30" fillId="20"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0" fillId="24"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0" fillId="28"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0" fillId="32"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0" fillId="36"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30"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3" fillId="43" borderId="0" applyNumberFormat="0" applyBorder="0" applyAlignment="0" applyProtection="0"/>
    <xf numFmtId="43" fontId="3" fillId="0" borderId="0" applyFont="0" applyFill="0" applyBorder="0" applyAlignment="0" applyProtection="0"/>
    <xf numFmtId="0" fontId="24" fillId="50" borderId="25" applyNumberFormat="0" applyAlignment="0" applyProtection="0"/>
    <xf numFmtId="0" fontId="8" fillId="0" borderId="0"/>
    <xf numFmtId="0" fontId="8" fillId="0" borderId="0"/>
    <xf numFmtId="0" fontId="8" fillId="0" borderId="0"/>
    <xf numFmtId="9" fontId="3" fillId="0" borderId="0" applyFont="0" applyFill="0" applyBorder="0" applyAlignment="0" applyProtection="0"/>
    <xf numFmtId="44" fontId="3" fillId="0" borderId="0" applyFont="0" applyFill="0" applyBorder="0" applyAlignment="0" applyProtection="0"/>
  </cellStyleXfs>
  <cellXfs count="493">
    <xf numFmtId="0" fontId="0" fillId="0" borderId="0" xfId="0"/>
    <xf numFmtId="0" fontId="0" fillId="0" borderId="1" xfId="0" applyBorder="1"/>
    <xf numFmtId="0" fontId="0" fillId="0" borderId="1" xfId="0" applyBorder="1" applyAlignment="1">
      <alignment horizontal="center"/>
    </xf>
    <xf numFmtId="0" fontId="0" fillId="0" borderId="0" xfId="0" applyAlignment="1">
      <alignment horizontal="center"/>
    </xf>
    <xf numFmtId="0" fontId="2" fillId="0" borderId="1" xfId="0" applyFont="1" applyBorder="1" applyAlignment="1">
      <alignment horizontal="center" vertical="center"/>
    </xf>
    <xf numFmtId="0" fontId="0" fillId="0" borderId="1" xfId="0" applyBorder="1" applyAlignment="1">
      <alignment horizontal="center" vertical="center"/>
    </xf>
    <xf numFmtId="0" fontId="0" fillId="6" borderId="0" xfId="0" applyFill="1"/>
    <xf numFmtId="0" fontId="6" fillId="7" borderId="1" xfId="0" applyFont="1" applyFill="1" applyBorder="1" applyAlignment="1">
      <alignment horizontal="center" vertical="center"/>
    </xf>
    <xf numFmtId="0" fontId="7" fillId="3" borderId="1" xfId="0" applyFont="1" applyFill="1" applyBorder="1" applyAlignment="1">
      <alignment horizontal="left" vertical="center"/>
    </xf>
    <xf numFmtId="0" fontId="7" fillId="3" borderId="1" xfId="0" applyFont="1" applyFill="1" applyBorder="1" applyAlignment="1">
      <alignment horizontal="center" vertical="center"/>
    </xf>
    <xf numFmtId="9" fontId="7" fillId="3" borderId="1" xfId="0" applyNumberFormat="1" applyFont="1" applyFill="1" applyBorder="1" applyAlignment="1">
      <alignment horizontal="center" vertical="center"/>
    </xf>
    <xf numFmtId="10" fontId="7" fillId="3" borderId="1" xfId="0" applyNumberFormat="1" applyFont="1" applyFill="1" applyBorder="1" applyAlignment="1">
      <alignment horizontal="center" vertical="center"/>
    </xf>
    <xf numFmtId="0" fontId="2" fillId="0" borderId="1" xfId="0" applyFont="1" applyBorder="1" applyAlignment="1">
      <alignment vertical="center"/>
    </xf>
    <xf numFmtId="0" fontId="0" fillId="0" borderId="0" xfId="0" applyAlignment="1">
      <alignment horizontal="left"/>
    </xf>
    <xf numFmtId="9" fontId="0" fillId="0" borderId="1" xfId="1" applyFont="1" applyBorder="1" applyAlignment="1">
      <alignment horizontal="center" vertical="center"/>
    </xf>
    <xf numFmtId="0" fontId="11" fillId="0" borderId="1" xfId="0" applyFont="1" applyBorder="1" applyAlignment="1">
      <alignment horizontal="center" vertical="center"/>
    </xf>
    <xf numFmtId="0" fontId="12" fillId="0" borderId="1" xfId="0" applyFont="1" applyBorder="1" applyAlignment="1">
      <alignment vertical="center"/>
    </xf>
    <xf numFmtId="0" fontId="13" fillId="0" borderId="1" xfId="0" applyFont="1" applyBorder="1" applyAlignment="1">
      <alignment horizontal="center" vertical="center"/>
    </xf>
    <xf numFmtId="0" fontId="17" fillId="3" borderId="1" xfId="0" applyFont="1" applyFill="1" applyBorder="1" applyAlignment="1">
      <alignment horizontal="center" vertical="center"/>
    </xf>
    <xf numFmtId="0" fontId="18" fillId="0" borderId="1" xfId="0" applyFont="1" applyBorder="1" applyAlignment="1">
      <alignment horizontal="left"/>
    </xf>
    <xf numFmtId="0" fontId="4" fillId="0" borderId="0" xfId="0" applyFont="1" applyAlignment="1">
      <alignment vertical="center" wrapText="1"/>
    </xf>
    <xf numFmtId="0" fontId="15" fillId="0" borderId="0" xfId="0" applyFont="1" applyAlignment="1">
      <alignment vertical="center"/>
    </xf>
    <xf numFmtId="0" fontId="32" fillId="0" borderId="1" xfId="0" applyFont="1" applyBorder="1" applyAlignment="1">
      <alignment horizontal="center"/>
    </xf>
    <xf numFmtId="0" fontId="13" fillId="3" borderId="1" xfId="0" applyFont="1" applyFill="1" applyBorder="1" applyAlignment="1">
      <alignment horizontal="center" vertical="center"/>
    </xf>
    <xf numFmtId="1" fontId="13" fillId="0" borderId="1" xfId="0" applyNumberFormat="1" applyFont="1" applyBorder="1" applyAlignment="1">
      <alignment horizontal="center" vertical="center"/>
    </xf>
    <xf numFmtId="0" fontId="38" fillId="0" borderId="1" xfId="0" applyFont="1" applyBorder="1" applyAlignment="1">
      <alignment horizontal="left" wrapText="1" readingOrder="1"/>
    </xf>
    <xf numFmtId="2" fontId="0" fillId="0" borderId="1" xfId="0" applyNumberFormat="1" applyBorder="1" applyAlignment="1">
      <alignment horizontal="center" vertical="center"/>
    </xf>
    <xf numFmtId="3" fontId="7" fillId="3" borderId="1" xfId="0" applyNumberFormat="1" applyFont="1" applyFill="1" applyBorder="1" applyAlignment="1">
      <alignment horizontal="center" vertical="center"/>
    </xf>
    <xf numFmtId="0" fontId="40" fillId="52"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41" fillId="0" borderId="1" xfId="0" applyFont="1" applyBorder="1" applyAlignment="1">
      <alignment horizontal="left" vertical="center" wrapText="1"/>
    </xf>
    <xf numFmtId="0" fontId="7" fillId="0" borderId="1" xfId="0" applyFont="1" applyBorder="1" applyAlignment="1">
      <alignment horizontal="center" vertical="center"/>
    </xf>
    <xf numFmtId="0" fontId="11" fillId="0" borderId="1" xfId="0" applyFont="1" applyBorder="1" applyAlignment="1">
      <alignment horizontal="center"/>
    </xf>
    <xf numFmtId="0" fontId="4" fillId="0" borderId="1" xfId="0" applyFont="1" applyBorder="1" applyAlignment="1">
      <alignment horizontal="center" vertical="center" wrapText="1"/>
    </xf>
    <xf numFmtId="0" fontId="13" fillId="5" borderId="1" xfId="0" applyFont="1" applyFill="1" applyBorder="1" applyAlignment="1">
      <alignment horizontal="center" vertical="center"/>
    </xf>
    <xf numFmtId="1" fontId="13" fillId="5" borderId="1" xfId="0" applyNumberFormat="1" applyFont="1" applyFill="1" applyBorder="1" applyAlignment="1">
      <alignment horizontal="center" vertical="center"/>
    </xf>
    <xf numFmtId="0" fontId="7" fillId="0" borderId="1" xfId="0" applyFont="1" applyBorder="1" applyAlignment="1">
      <alignment horizontal="left" vertical="center" wrapText="1"/>
    </xf>
    <xf numFmtId="9" fontId="7" fillId="5" borderId="1" xfId="1" applyFont="1" applyFill="1" applyBorder="1" applyAlignment="1">
      <alignment horizontal="center" vertical="center"/>
    </xf>
    <xf numFmtId="0" fontId="0" fillId="0" borderId="0" xfId="0" applyAlignment="1">
      <alignment horizontal="left" vertical="center"/>
    </xf>
    <xf numFmtId="0" fontId="0" fillId="0" borderId="0" xfId="0" applyAlignment="1">
      <alignment vertical="center"/>
    </xf>
    <xf numFmtId="0" fontId="13" fillId="0" borderId="0" xfId="0" applyFont="1" applyAlignment="1">
      <alignment vertical="center"/>
    </xf>
    <xf numFmtId="0" fontId="44" fillId="53" borderId="1" xfId="0" applyFont="1" applyFill="1" applyBorder="1" applyAlignment="1">
      <alignment horizontal="center" vertical="center" wrapText="1" readingOrder="1"/>
    </xf>
    <xf numFmtId="0" fontId="45" fillId="0" borderId="1" xfId="0" applyFont="1" applyBorder="1" applyAlignment="1">
      <alignment horizontal="center" vertical="center" wrapText="1" readingOrder="1"/>
    </xf>
    <xf numFmtId="9" fontId="47" fillId="0" borderId="1" xfId="0" applyNumberFormat="1" applyFont="1" applyBorder="1" applyAlignment="1">
      <alignment horizontal="center" vertical="center" wrapText="1" readingOrder="1"/>
    </xf>
    <xf numFmtId="9" fontId="45" fillId="0" borderId="1" xfId="0" applyNumberFormat="1" applyFont="1" applyBorder="1" applyAlignment="1">
      <alignment horizontal="center" vertical="center" wrapText="1" readingOrder="1"/>
    </xf>
    <xf numFmtId="10" fontId="45" fillId="0" borderId="1" xfId="0" applyNumberFormat="1" applyFont="1" applyBorder="1" applyAlignment="1">
      <alignment horizontal="center" vertical="center" wrapText="1" readingOrder="1"/>
    </xf>
    <xf numFmtId="1" fontId="47" fillId="0" borderId="1" xfId="1" applyNumberFormat="1" applyFont="1" applyBorder="1" applyAlignment="1">
      <alignment horizontal="center" vertical="center" wrapText="1" readingOrder="1"/>
    </xf>
    <xf numFmtId="2" fontId="47" fillId="0" borderId="1" xfId="0" applyNumberFormat="1" applyFont="1" applyBorder="1" applyAlignment="1">
      <alignment horizontal="center" vertical="center" wrapText="1" readingOrder="1"/>
    </xf>
    <xf numFmtId="0" fontId="47" fillId="0" borderId="1" xfId="0" applyFont="1" applyBorder="1" applyAlignment="1">
      <alignment horizontal="center" vertical="center" wrapText="1" readingOrder="1"/>
    </xf>
    <xf numFmtId="10" fontId="45" fillId="0" borderId="1" xfId="1" applyNumberFormat="1" applyFont="1" applyBorder="1" applyAlignment="1">
      <alignment horizontal="center" vertical="center" wrapText="1" readingOrder="1"/>
    </xf>
    <xf numFmtId="10" fontId="47" fillId="0" borderId="1" xfId="0" applyNumberFormat="1" applyFont="1" applyBorder="1" applyAlignment="1">
      <alignment horizontal="center" vertical="center" wrapText="1" readingOrder="1"/>
    </xf>
    <xf numFmtId="3" fontId="0" fillId="0" borderId="0" xfId="0" applyNumberFormat="1"/>
    <xf numFmtId="9" fontId="0" fillId="0" borderId="1" xfId="0" applyNumberFormat="1" applyBorder="1" applyAlignment="1">
      <alignment horizontal="center" vertical="center"/>
    </xf>
    <xf numFmtId="10" fontId="0" fillId="0" borderId="1" xfId="1" applyNumberFormat="1" applyFont="1" applyBorder="1" applyAlignment="1">
      <alignment horizontal="center" vertical="center"/>
    </xf>
    <xf numFmtId="165" fontId="6" fillId="3" borderId="1" xfId="43" applyNumberFormat="1" applyFont="1" applyFill="1" applyBorder="1" applyAlignment="1">
      <alignment vertical="center"/>
    </xf>
    <xf numFmtId="0" fontId="34" fillId="45" borderId="31" xfId="0" applyFont="1" applyFill="1" applyBorder="1" applyAlignment="1">
      <alignment vertical="center"/>
    </xf>
    <xf numFmtId="0" fontId="34" fillId="45" borderId="20" xfId="0" applyFont="1" applyFill="1" applyBorder="1" applyAlignment="1">
      <alignment horizontal="center" vertical="center"/>
    </xf>
    <xf numFmtId="0" fontId="34" fillId="45" borderId="17" xfId="0" applyFont="1" applyFill="1" applyBorder="1" applyAlignment="1">
      <alignment vertical="center"/>
    </xf>
    <xf numFmtId="0" fontId="2" fillId="12" borderId="2" xfId="0" applyFont="1" applyFill="1" applyBorder="1" applyAlignment="1">
      <alignment horizontal="center" vertical="center"/>
    </xf>
    <xf numFmtId="9" fontId="2" fillId="55" borderId="2" xfId="0" applyNumberFormat="1" applyFont="1" applyFill="1" applyBorder="1" applyAlignment="1">
      <alignment horizontal="center" vertical="center"/>
    </xf>
    <xf numFmtId="9" fontId="2" fillId="12" borderId="2" xfId="0" applyNumberFormat="1" applyFont="1" applyFill="1" applyBorder="1" applyAlignment="1">
      <alignment horizontal="center" vertical="center"/>
    </xf>
    <xf numFmtId="0" fontId="2" fillId="55" borderId="2" xfId="0" applyFont="1" applyFill="1" applyBorder="1" applyAlignment="1">
      <alignment horizontal="center" vertical="center"/>
    </xf>
    <xf numFmtId="0" fontId="34" fillId="45" borderId="2" xfId="0" applyFont="1" applyFill="1" applyBorder="1" applyAlignment="1">
      <alignment horizontal="center" vertical="center"/>
    </xf>
    <xf numFmtId="9" fontId="34" fillId="45" borderId="2" xfId="0" applyNumberFormat="1" applyFont="1" applyFill="1" applyBorder="1" applyAlignment="1">
      <alignment horizontal="center" vertical="center"/>
    </xf>
    <xf numFmtId="0" fontId="51" fillId="0" borderId="0" xfId="0" applyFont="1" applyAlignment="1">
      <alignment vertical="center"/>
    </xf>
    <xf numFmtId="0" fontId="3" fillId="0" borderId="0" xfId="0" applyFont="1" applyAlignment="1">
      <alignment vertical="center"/>
    </xf>
    <xf numFmtId="0" fontId="17" fillId="11" borderId="1" xfId="0" applyFont="1" applyFill="1" applyBorder="1" applyAlignment="1">
      <alignment horizontal="center" vertical="center"/>
    </xf>
    <xf numFmtId="1" fontId="0" fillId="0" borderId="0" xfId="0" applyNumberFormat="1"/>
    <xf numFmtId="3" fontId="0" fillId="0" borderId="1" xfId="0" applyNumberFormat="1" applyBorder="1"/>
    <xf numFmtId="0" fontId="46" fillId="54" borderId="1" xfId="0" applyFont="1" applyFill="1" applyBorder="1" applyAlignment="1">
      <alignment horizontal="center" vertical="center" wrapText="1" readingOrder="1"/>
    </xf>
    <xf numFmtId="0" fontId="32" fillId="11" borderId="1" xfId="0" applyFont="1" applyFill="1" applyBorder="1" applyAlignment="1">
      <alignment horizontal="center" vertical="center"/>
    </xf>
    <xf numFmtId="0" fontId="5" fillId="10" borderId="1" xfId="0" applyFont="1" applyFill="1" applyBorder="1" applyAlignment="1">
      <alignment horizontal="center" vertical="center"/>
    </xf>
    <xf numFmtId="14" fontId="5" fillId="10" borderId="1" xfId="0" applyNumberFormat="1" applyFont="1" applyFill="1" applyBorder="1" applyAlignment="1">
      <alignment horizontal="center" vertical="center"/>
    </xf>
    <xf numFmtId="10" fontId="2" fillId="0" borderId="1" xfId="1" applyNumberFormat="1" applyFont="1" applyBorder="1" applyAlignment="1">
      <alignment horizontal="center" vertical="center"/>
    </xf>
    <xf numFmtId="0" fontId="6" fillId="7" borderId="1" xfId="0" applyFont="1" applyFill="1" applyBorder="1" applyAlignment="1">
      <alignment vertical="center"/>
    </xf>
    <xf numFmtId="165" fontId="7" fillId="3" borderId="1" xfId="43" applyNumberFormat="1" applyFont="1" applyFill="1" applyBorder="1" applyAlignment="1">
      <alignment horizontal="center"/>
    </xf>
    <xf numFmtId="9" fontId="0" fillId="0" borderId="1" xfId="1" applyFont="1" applyBorder="1"/>
    <xf numFmtId="165" fontId="6" fillId="7" borderId="14" xfId="43" applyNumberFormat="1" applyFont="1" applyFill="1" applyBorder="1" applyAlignment="1">
      <alignment vertical="center"/>
    </xf>
    <xf numFmtId="165" fontId="6" fillId="7" borderId="1" xfId="43" applyNumberFormat="1" applyFont="1" applyFill="1" applyBorder="1" applyAlignment="1">
      <alignment horizontal="center" vertical="center"/>
    </xf>
    <xf numFmtId="165" fontId="7" fillId="3" borderId="1" xfId="43" applyNumberFormat="1" applyFont="1" applyFill="1" applyBorder="1" applyAlignment="1">
      <alignment horizontal="left" vertical="center"/>
    </xf>
    <xf numFmtId="165" fontId="7" fillId="3" borderId="1" xfId="43" applyNumberFormat="1" applyFont="1" applyFill="1" applyBorder="1" applyAlignment="1">
      <alignment horizontal="center" vertical="center"/>
    </xf>
    <xf numFmtId="0" fontId="17" fillId="9" borderId="1" xfId="0" applyFont="1" applyFill="1" applyBorder="1" applyAlignment="1">
      <alignment horizontal="center" vertical="center"/>
    </xf>
    <xf numFmtId="14" fontId="5" fillId="59" borderId="1" xfId="0" applyNumberFormat="1" applyFont="1" applyFill="1" applyBorder="1" applyAlignment="1">
      <alignment horizontal="center" vertical="center"/>
    </xf>
    <xf numFmtId="0" fontId="32" fillId="0" borderId="1" xfId="0" applyFont="1" applyBorder="1" applyAlignment="1">
      <alignment horizontal="center" vertical="center"/>
    </xf>
    <xf numFmtId="1" fontId="5" fillId="60" borderId="1" xfId="0" applyNumberFormat="1" applyFont="1" applyFill="1" applyBorder="1" applyAlignment="1">
      <alignment horizontal="center" vertical="center"/>
    </xf>
    <xf numFmtId="0" fontId="5" fillId="56" borderId="1" xfId="0" applyFont="1" applyFill="1" applyBorder="1" applyAlignment="1">
      <alignment horizontal="center" vertical="center"/>
    </xf>
    <xf numFmtId="0" fontId="32" fillId="48" borderId="1" xfId="0" applyFont="1" applyFill="1" applyBorder="1" applyAlignment="1">
      <alignment horizontal="center" vertical="center"/>
    </xf>
    <xf numFmtId="9" fontId="5" fillId="60" borderId="1" xfId="1" applyFont="1" applyFill="1" applyBorder="1" applyAlignment="1">
      <alignment horizontal="center" vertical="center"/>
    </xf>
    <xf numFmtId="9" fontId="5" fillId="56" borderId="1" xfId="1" applyFont="1" applyFill="1" applyBorder="1" applyAlignment="1">
      <alignment horizontal="center" vertical="center"/>
    </xf>
    <xf numFmtId="1" fontId="7" fillId="3" borderId="1" xfId="0" applyNumberFormat="1" applyFont="1" applyFill="1" applyBorder="1" applyAlignment="1">
      <alignment horizontal="center" vertical="center"/>
    </xf>
    <xf numFmtId="9" fontId="7" fillId="3" borderId="1" xfId="1" applyFont="1" applyFill="1" applyBorder="1" applyAlignment="1">
      <alignment horizontal="center" vertical="center"/>
    </xf>
    <xf numFmtId="10" fontId="7" fillId="3" borderId="1" xfId="1" applyNumberFormat="1" applyFont="1" applyFill="1" applyBorder="1" applyAlignment="1">
      <alignment horizontal="center" vertical="center"/>
    </xf>
    <xf numFmtId="1" fontId="2" fillId="0" borderId="1" xfId="0" applyNumberFormat="1" applyFont="1" applyBorder="1" applyAlignment="1">
      <alignment horizontal="center" vertical="center"/>
    </xf>
    <xf numFmtId="0" fontId="37" fillId="61" borderId="1" xfId="0" applyFont="1" applyFill="1" applyBorder="1" applyAlignment="1">
      <alignment horizontal="left" vertical="center" wrapText="1" readingOrder="1"/>
    </xf>
    <xf numFmtId="0" fontId="37" fillId="61" borderId="1" xfId="0" applyFont="1" applyFill="1" applyBorder="1" applyAlignment="1">
      <alignment horizontal="center" vertical="center" wrapText="1" readingOrder="1"/>
    </xf>
    <xf numFmtId="0" fontId="38" fillId="62" borderId="1" xfId="0" applyFont="1" applyFill="1" applyBorder="1" applyAlignment="1">
      <alignment horizontal="left" wrapText="1" readingOrder="1"/>
    </xf>
    <xf numFmtId="3" fontId="38" fillId="62" borderId="1" xfId="0" applyNumberFormat="1" applyFont="1" applyFill="1" applyBorder="1" applyAlignment="1">
      <alignment horizontal="center" vertical="center" wrapText="1" readingOrder="1"/>
    </xf>
    <xf numFmtId="0" fontId="38" fillId="62" borderId="1" xfId="0" applyFont="1" applyFill="1" applyBorder="1" applyAlignment="1">
      <alignment horizontal="center" vertical="center" wrapText="1" readingOrder="1"/>
    </xf>
    <xf numFmtId="2" fontId="38" fillId="62" borderId="1" xfId="0" applyNumberFormat="1" applyFont="1" applyFill="1" applyBorder="1" applyAlignment="1">
      <alignment horizontal="center" vertical="center" wrapText="1" readingOrder="1"/>
    </xf>
    <xf numFmtId="2" fontId="32" fillId="0" borderId="1" xfId="0" applyNumberFormat="1" applyFont="1" applyBorder="1" applyAlignment="1">
      <alignment horizontal="center" vertical="center"/>
    </xf>
    <xf numFmtId="0" fontId="2" fillId="62" borderId="1" xfId="0" applyFont="1" applyFill="1" applyBorder="1" applyAlignment="1">
      <alignment horizontal="center" vertical="center" wrapText="1" readingOrder="1"/>
    </xf>
    <xf numFmtId="2" fontId="2" fillId="62" borderId="1" xfId="0" applyNumberFormat="1" applyFont="1" applyFill="1" applyBorder="1" applyAlignment="1">
      <alignment horizontal="center" wrapText="1" readingOrder="1"/>
    </xf>
    <xf numFmtId="0" fontId="38" fillId="61" borderId="1" xfId="0" applyFont="1" applyFill="1" applyBorder="1" applyAlignment="1">
      <alignment horizontal="left" wrapText="1" readingOrder="1"/>
    </xf>
    <xf numFmtId="9" fontId="38" fillId="61" borderId="1" xfId="0" applyNumberFormat="1" applyFont="1" applyFill="1" applyBorder="1" applyAlignment="1">
      <alignment horizontal="center" vertical="center" wrapText="1" readingOrder="1"/>
    </xf>
    <xf numFmtId="1" fontId="0" fillId="0" borderId="1" xfId="0" applyNumberFormat="1" applyBorder="1" applyAlignment="1">
      <alignment horizontal="center"/>
    </xf>
    <xf numFmtId="1" fontId="0" fillId="0" borderId="1" xfId="0" applyNumberFormat="1" applyBorder="1" applyAlignment="1">
      <alignment horizontal="center" vertical="center"/>
    </xf>
    <xf numFmtId="165" fontId="13" fillId="0" borderId="1" xfId="43" applyNumberFormat="1" applyFont="1" applyBorder="1" applyAlignment="1">
      <alignment horizontal="center" vertical="center"/>
    </xf>
    <xf numFmtId="165" fontId="0" fillId="0" borderId="1" xfId="43" applyNumberFormat="1" applyFont="1" applyBorder="1" applyAlignment="1">
      <alignment horizontal="center"/>
    </xf>
    <xf numFmtId="0" fontId="0" fillId="0" borderId="1" xfId="0" applyBorder="1" applyAlignment="1">
      <alignment vertical="center"/>
    </xf>
    <xf numFmtId="0" fontId="13" fillId="0" borderId="1" xfId="0" applyFont="1" applyBorder="1" applyAlignment="1">
      <alignment vertical="center"/>
    </xf>
    <xf numFmtId="0" fontId="17" fillId="3" borderId="1" xfId="0" applyFont="1" applyFill="1" applyBorder="1" applyAlignment="1">
      <alignment vertical="center"/>
    </xf>
    <xf numFmtId="0" fontId="5" fillId="60" borderId="15" xfId="0" applyFont="1" applyFill="1" applyBorder="1" applyAlignment="1">
      <alignment vertical="center"/>
    </xf>
    <xf numFmtId="0" fontId="5" fillId="60" borderId="15" xfId="0" applyFont="1" applyFill="1" applyBorder="1" applyAlignment="1">
      <alignment horizontal="center" vertical="center"/>
    </xf>
    <xf numFmtId="14" fontId="5" fillId="56" borderId="1" xfId="0" applyNumberFormat="1" applyFont="1" applyFill="1" applyBorder="1" applyAlignment="1">
      <alignment horizontal="center" vertical="center"/>
    </xf>
    <xf numFmtId="0" fontId="5" fillId="60" borderId="1" xfId="0" applyFont="1" applyFill="1" applyBorder="1" applyAlignment="1">
      <alignment vertical="center"/>
    </xf>
    <xf numFmtId="0" fontId="2" fillId="48" borderId="1" xfId="0" applyFont="1" applyFill="1" applyBorder="1" applyAlignment="1">
      <alignment vertical="center"/>
    </xf>
    <xf numFmtId="0" fontId="54" fillId="57" borderId="1" xfId="0" applyFont="1" applyFill="1" applyBorder="1" applyAlignment="1">
      <alignment vertical="center"/>
    </xf>
    <xf numFmtId="0" fontId="54" fillId="57" borderId="1" xfId="0" applyFont="1" applyFill="1" applyBorder="1" applyAlignment="1">
      <alignment horizontal="center" vertical="center"/>
    </xf>
    <xf numFmtId="0" fontId="9" fillId="4" borderId="1" xfId="0" applyFont="1" applyFill="1" applyBorder="1" applyAlignment="1">
      <alignment vertical="center"/>
    </xf>
    <xf numFmtId="0" fontId="9" fillId="4" borderId="1" xfId="0" applyFont="1" applyFill="1" applyBorder="1" applyAlignment="1">
      <alignment horizontal="center" vertical="center"/>
    </xf>
    <xf numFmtId="14" fontId="5" fillId="48" borderId="1" xfId="0" applyNumberFormat="1" applyFont="1" applyFill="1" applyBorder="1" applyAlignment="1">
      <alignment horizontal="center" vertical="center"/>
    </xf>
    <xf numFmtId="1" fontId="9" fillId="4" borderId="1" xfId="0" applyNumberFormat="1" applyFont="1" applyFill="1" applyBorder="1" applyAlignment="1">
      <alignment horizontal="center" vertical="center"/>
    </xf>
    <xf numFmtId="0" fontId="5" fillId="48" borderId="1" xfId="0" applyFont="1" applyFill="1" applyBorder="1" applyAlignment="1">
      <alignment horizontal="center" vertical="center"/>
    </xf>
    <xf numFmtId="0" fontId="55" fillId="0" borderId="1" xfId="0" applyFont="1" applyBorder="1" applyAlignment="1">
      <alignment horizontal="center"/>
    </xf>
    <xf numFmtId="0" fontId="55" fillId="11" borderId="1" xfId="0" applyFont="1" applyFill="1" applyBorder="1" applyAlignment="1">
      <alignment horizontal="center"/>
    </xf>
    <xf numFmtId="0" fontId="32" fillId="11" borderId="1" xfId="0" applyFont="1" applyFill="1" applyBorder="1" applyAlignment="1">
      <alignment horizontal="center"/>
    </xf>
    <xf numFmtId="0" fontId="32" fillId="0" borderId="0" xfId="0" applyFont="1" applyAlignment="1">
      <alignment vertical="center" wrapText="1"/>
    </xf>
    <xf numFmtId="0" fontId="5" fillId="0" borderId="17" xfId="0" applyFont="1" applyBorder="1" applyAlignment="1">
      <alignment vertical="center"/>
    </xf>
    <xf numFmtId="0" fontId="5" fillId="0" borderId="2" xfId="0" applyFont="1" applyBorder="1" applyAlignment="1">
      <alignment horizontal="center" vertical="center"/>
    </xf>
    <xf numFmtId="0" fontId="32" fillId="0" borderId="2" xfId="0" applyFont="1" applyBorder="1" applyAlignment="1">
      <alignment horizontal="center" vertical="center"/>
    </xf>
    <xf numFmtId="0" fontId="56" fillId="0" borderId="2" xfId="0" applyFont="1" applyBorder="1" applyAlignment="1">
      <alignment horizontal="center" vertical="center"/>
    </xf>
    <xf numFmtId="0" fontId="60" fillId="0" borderId="0" xfId="0" applyFont="1" applyAlignment="1">
      <alignment vertical="center"/>
    </xf>
    <xf numFmtId="0" fontId="59" fillId="0" borderId="0" xfId="0" applyFont="1" applyAlignment="1">
      <alignment vertical="center"/>
    </xf>
    <xf numFmtId="0" fontId="61" fillId="45" borderId="31" xfId="0" applyFont="1" applyFill="1" applyBorder="1" applyAlignment="1">
      <alignment vertical="center"/>
    </xf>
    <xf numFmtId="0" fontId="61" fillId="45" borderId="20" xfId="0" applyFont="1" applyFill="1" applyBorder="1" applyAlignment="1">
      <alignment horizontal="center" vertical="center"/>
    </xf>
    <xf numFmtId="0" fontId="61" fillId="45" borderId="17" xfId="0" applyFont="1" applyFill="1" applyBorder="1" applyAlignment="1">
      <alignment vertical="center"/>
    </xf>
    <xf numFmtId="0" fontId="62" fillId="12" borderId="2" xfId="0" applyFont="1" applyFill="1" applyBorder="1" applyAlignment="1">
      <alignment horizontal="center" vertical="center"/>
    </xf>
    <xf numFmtId="9" fontId="62" fillId="12" borderId="2" xfId="0" applyNumberFormat="1" applyFont="1" applyFill="1" applyBorder="1" applyAlignment="1">
      <alignment horizontal="center" vertical="center"/>
    </xf>
    <xf numFmtId="0" fontId="62" fillId="55" borderId="2" xfId="0" applyFont="1" applyFill="1" applyBorder="1" applyAlignment="1">
      <alignment horizontal="center" vertical="center"/>
    </xf>
    <xf numFmtId="9" fontId="62" fillId="55" borderId="2" xfId="0" applyNumberFormat="1" applyFont="1" applyFill="1" applyBorder="1" applyAlignment="1">
      <alignment horizontal="center" vertical="center"/>
    </xf>
    <xf numFmtId="0" fontId="61" fillId="45" borderId="2" xfId="0" applyFont="1" applyFill="1" applyBorder="1" applyAlignment="1">
      <alignment horizontal="center" vertical="center"/>
    </xf>
    <xf numFmtId="9" fontId="61" fillId="45" borderId="2" xfId="0" applyNumberFormat="1" applyFont="1" applyFill="1" applyBorder="1" applyAlignment="1">
      <alignment horizontal="center" vertical="center"/>
    </xf>
    <xf numFmtId="0" fontId="32" fillId="0" borderId="0" xfId="0" applyFont="1" applyAlignment="1">
      <alignment vertical="center"/>
    </xf>
    <xf numFmtId="0" fontId="61" fillId="45" borderId="31" xfId="0" applyFont="1" applyFill="1" applyBorder="1" applyAlignment="1">
      <alignment vertical="center" wrapText="1"/>
    </xf>
    <xf numFmtId="0" fontId="61" fillId="45" borderId="20" xfId="0" applyFont="1" applyFill="1" applyBorder="1" applyAlignment="1">
      <alignment horizontal="center" vertical="center" wrapText="1"/>
    </xf>
    <xf numFmtId="0" fontId="61" fillId="45" borderId="17" xfId="0" applyFont="1" applyFill="1" applyBorder="1" applyAlignment="1">
      <alignment vertical="center" wrapText="1"/>
    </xf>
    <xf numFmtId="0" fontId="61" fillId="45" borderId="2" xfId="0" applyFont="1" applyFill="1" applyBorder="1" applyAlignment="1">
      <alignment horizontal="center" vertical="center" wrapText="1"/>
    </xf>
    <xf numFmtId="0" fontId="63" fillId="63" borderId="39" xfId="0" applyFont="1" applyFill="1" applyBorder="1" applyAlignment="1">
      <alignment horizontal="center" vertical="center" wrapText="1" readingOrder="1"/>
    </xf>
    <xf numFmtId="3" fontId="13" fillId="0" borderId="1" xfId="0" applyNumberFormat="1" applyFont="1" applyBorder="1" applyAlignment="1">
      <alignment horizontal="center" vertical="center"/>
    </xf>
    <xf numFmtId="10" fontId="0" fillId="0" borderId="0" xfId="1" applyNumberFormat="1" applyFont="1"/>
    <xf numFmtId="10" fontId="0" fillId="0" borderId="0" xfId="0" applyNumberFormat="1"/>
    <xf numFmtId="0" fontId="5" fillId="60" borderId="1" xfId="0" applyFont="1" applyFill="1" applyBorder="1" applyAlignment="1">
      <alignment horizontal="center" vertical="center"/>
    </xf>
    <xf numFmtId="0" fontId="5" fillId="10" borderId="1" xfId="0" applyFont="1" applyFill="1" applyBorder="1" applyAlignment="1">
      <alignment vertical="center"/>
    </xf>
    <xf numFmtId="0" fontId="2" fillId="10" borderId="1" xfId="0" applyFont="1" applyFill="1" applyBorder="1" applyAlignment="1">
      <alignment vertical="center"/>
    </xf>
    <xf numFmtId="10" fontId="5" fillId="10" borderId="1" xfId="1" applyNumberFormat="1" applyFont="1" applyFill="1" applyBorder="1" applyAlignment="1">
      <alignment horizontal="center" vertical="center"/>
    </xf>
    <xf numFmtId="2" fontId="38" fillId="0" borderId="1" xfId="0" applyNumberFormat="1" applyFont="1" applyBorder="1" applyAlignment="1">
      <alignment horizontal="center" vertical="center" wrapText="1" readingOrder="1"/>
    </xf>
    <xf numFmtId="0" fontId="64" fillId="64" borderId="40" xfId="0" applyFont="1" applyFill="1" applyBorder="1" applyAlignment="1">
      <alignment horizontal="center" vertical="center" wrapText="1" readingOrder="1"/>
    </xf>
    <xf numFmtId="9" fontId="64" fillId="64" borderId="40" xfId="0" applyNumberFormat="1" applyFont="1" applyFill="1" applyBorder="1" applyAlignment="1">
      <alignment horizontal="center" vertical="center" wrapText="1" readingOrder="1"/>
    </xf>
    <xf numFmtId="2" fontId="0" fillId="0" borderId="0" xfId="0" applyNumberFormat="1"/>
    <xf numFmtId="0" fontId="12" fillId="0" borderId="0" xfId="0" applyFont="1" applyAlignment="1">
      <alignment horizontal="center" vertical="center"/>
    </xf>
    <xf numFmtId="10" fontId="0" fillId="0" borderId="1" xfId="0" applyNumberFormat="1" applyBorder="1" applyAlignment="1">
      <alignment horizontal="center" vertical="center"/>
    </xf>
    <xf numFmtId="3" fontId="13" fillId="5" borderId="1" xfId="0" applyNumberFormat="1" applyFont="1" applyFill="1" applyBorder="1" applyAlignment="1">
      <alignment horizontal="center" vertical="center"/>
    </xf>
    <xf numFmtId="165" fontId="6" fillId="3" borderId="1" xfId="43" applyNumberFormat="1" applyFont="1" applyFill="1" applyBorder="1" applyAlignment="1">
      <alignment horizontal="center" vertical="center"/>
    </xf>
    <xf numFmtId="0" fontId="17" fillId="66" borderId="1" xfId="0" applyFont="1" applyFill="1" applyBorder="1" applyAlignment="1">
      <alignment horizontal="center" vertical="center"/>
    </xf>
    <xf numFmtId="0" fontId="17" fillId="66" borderId="1" xfId="0" applyFont="1" applyFill="1" applyBorder="1" applyAlignment="1">
      <alignment horizontal="center" vertical="center" wrapText="1"/>
    </xf>
    <xf numFmtId="0" fontId="54" fillId="57" borderId="1" xfId="0" applyFont="1" applyFill="1" applyBorder="1" applyAlignment="1">
      <alignment horizontal="left" vertical="center"/>
    </xf>
    <xf numFmtId="14" fontId="1" fillId="10" borderId="1" xfId="0" applyNumberFormat="1" applyFont="1" applyFill="1" applyBorder="1" applyAlignment="1">
      <alignment horizontal="center" vertical="center"/>
    </xf>
    <xf numFmtId="0" fontId="0" fillId="10" borderId="1" xfId="0" applyFill="1" applyBorder="1" applyAlignment="1">
      <alignment vertical="center"/>
    </xf>
    <xf numFmtId="165" fontId="0" fillId="0" borderId="1" xfId="43" applyNumberFormat="1" applyFont="1" applyBorder="1" applyAlignment="1">
      <alignment horizontal="center" vertical="center"/>
    </xf>
    <xf numFmtId="165" fontId="5" fillId="10" borderId="1" xfId="43" applyNumberFormat="1" applyFont="1" applyFill="1" applyBorder="1" applyAlignment="1">
      <alignment horizontal="center" vertical="center"/>
    </xf>
    <xf numFmtId="0" fontId="0" fillId="10" borderId="1" xfId="0" applyFill="1" applyBorder="1" applyAlignment="1">
      <alignment horizontal="center" vertical="center"/>
    </xf>
    <xf numFmtId="2" fontId="0" fillId="10" borderId="1" xfId="0" applyNumberFormat="1" applyFill="1" applyBorder="1" applyAlignment="1">
      <alignment horizontal="center" vertical="center"/>
    </xf>
    <xf numFmtId="0" fontId="31" fillId="51" borderId="1" xfId="0" applyFont="1" applyFill="1" applyBorder="1" applyAlignment="1">
      <alignment vertical="center"/>
    </xf>
    <xf numFmtId="0" fontId="31" fillId="51" borderId="1" xfId="0" applyFont="1" applyFill="1" applyBorder="1" applyAlignment="1">
      <alignment vertical="center" wrapText="1"/>
    </xf>
    <xf numFmtId="14" fontId="0" fillId="0" borderId="1" xfId="0" applyNumberFormat="1" applyBorder="1" applyAlignment="1">
      <alignment vertical="center"/>
    </xf>
    <xf numFmtId="17" fontId="0" fillId="0" borderId="1" xfId="0" applyNumberFormat="1" applyBorder="1" applyAlignment="1">
      <alignment vertical="center"/>
    </xf>
    <xf numFmtId="16" fontId="0" fillId="0" borderId="1" xfId="0" applyNumberFormat="1" applyBorder="1" applyAlignment="1">
      <alignment vertical="center"/>
    </xf>
    <xf numFmtId="14" fontId="39" fillId="0" borderId="1" xfId="0" applyNumberFormat="1" applyFont="1" applyBorder="1" applyAlignment="1">
      <alignment vertical="center" wrapText="1"/>
    </xf>
    <xf numFmtId="0" fontId="39" fillId="0" borderId="1" xfId="0" applyFont="1" applyBorder="1" applyAlignment="1">
      <alignment vertical="center" wrapText="1"/>
    </xf>
    <xf numFmtId="0" fontId="39" fillId="0" borderId="1" xfId="0" applyFont="1" applyBorder="1" applyAlignment="1">
      <alignment vertical="center"/>
    </xf>
    <xf numFmtId="14" fontId="39" fillId="5" borderId="1" xfId="0" applyNumberFormat="1" applyFont="1" applyFill="1" applyBorder="1" applyAlignment="1">
      <alignment vertical="center" wrapText="1"/>
    </xf>
    <xf numFmtId="0" fontId="39" fillId="5" borderId="1" xfId="0" applyFont="1" applyFill="1" applyBorder="1" applyAlignment="1">
      <alignment vertical="center"/>
    </xf>
    <xf numFmtId="16" fontId="0" fillId="5" borderId="1" xfId="0" applyNumberFormat="1" applyFill="1" applyBorder="1" applyAlignment="1">
      <alignment vertical="center"/>
    </xf>
    <xf numFmtId="0" fontId="39" fillId="5" borderId="1" xfId="0" applyFont="1" applyFill="1" applyBorder="1" applyAlignment="1">
      <alignment vertical="center" wrapText="1"/>
    </xf>
    <xf numFmtId="0" fontId="0" fillId="5" borderId="1" xfId="0" applyFill="1" applyBorder="1" applyAlignment="1">
      <alignment vertical="center"/>
    </xf>
    <xf numFmtId="0" fontId="52" fillId="5" borderId="1" xfId="0" applyFont="1" applyFill="1" applyBorder="1" applyAlignment="1">
      <alignment vertical="center"/>
    </xf>
    <xf numFmtId="0" fontId="39" fillId="65" borderId="1" xfId="0" applyFont="1" applyFill="1" applyBorder="1" applyAlignment="1">
      <alignment vertical="center"/>
    </xf>
    <xf numFmtId="0" fontId="0" fillId="6" borderId="1" xfId="0" applyFill="1" applyBorder="1" applyAlignment="1">
      <alignment vertical="center"/>
    </xf>
    <xf numFmtId="0" fontId="65" fillId="65" borderId="1" xfId="0" applyFont="1" applyFill="1" applyBorder="1" applyAlignment="1">
      <alignment vertical="center"/>
    </xf>
    <xf numFmtId="0" fontId="66" fillId="5" borderId="1" xfId="0" applyFont="1" applyFill="1" applyBorder="1" applyAlignment="1">
      <alignment vertical="center"/>
    </xf>
    <xf numFmtId="0" fontId="67" fillId="5" borderId="1" xfId="0" applyFont="1" applyFill="1" applyBorder="1" applyAlignment="1">
      <alignment vertical="center"/>
    </xf>
    <xf numFmtId="0" fontId="62" fillId="55" borderId="2" xfId="0" applyFont="1" applyFill="1" applyBorder="1" applyAlignment="1">
      <alignment vertical="center"/>
    </xf>
    <xf numFmtId="0" fontId="62" fillId="12" borderId="2" xfId="0" applyFont="1" applyFill="1" applyBorder="1" applyAlignment="1">
      <alignment vertical="center"/>
    </xf>
    <xf numFmtId="0" fontId="61" fillId="45" borderId="2" xfId="0" applyFont="1" applyFill="1" applyBorder="1" applyAlignment="1">
      <alignment vertical="center"/>
    </xf>
    <xf numFmtId="14" fontId="5" fillId="66" borderId="15" xfId="0" applyNumberFormat="1" applyFont="1" applyFill="1" applyBorder="1" applyAlignment="1">
      <alignment horizontal="center" vertical="center"/>
    </xf>
    <xf numFmtId="0" fontId="17" fillId="9" borderId="1" xfId="0" applyFont="1" applyFill="1" applyBorder="1" applyAlignment="1">
      <alignment vertical="center"/>
    </xf>
    <xf numFmtId="0" fontId="13" fillId="0" borderId="0" xfId="0" applyFont="1" applyAlignment="1">
      <alignment horizontal="center" vertical="center"/>
    </xf>
    <xf numFmtId="0" fontId="13" fillId="6" borderId="6" xfId="0" applyFont="1" applyFill="1" applyBorder="1" applyAlignment="1">
      <alignment vertical="center"/>
    </xf>
    <xf numFmtId="0" fontId="17" fillId="0" borderId="1" xfId="0" applyFont="1" applyBorder="1" applyAlignment="1">
      <alignment horizontal="center" vertical="center"/>
    </xf>
    <xf numFmtId="0" fontId="13" fillId="6" borderId="7" xfId="0" applyFont="1" applyFill="1" applyBorder="1" applyAlignment="1">
      <alignment vertical="center"/>
    </xf>
    <xf numFmtId="0" fontId="17" fillId="69" borderId="1" xfId="0" applyFont="1" applyFill="1" applyBorder="1" applyAlignment="1">
      <alignment vertical="center"/>
    </xf>
    <xf numFmtId="0" fontId="13" fillId="6" borderId="9" xfId="0" applyFont="1" applyFill="1" applyBorder="1" applyAlignment="1">
      <alignment vertical="center"/>
    </xf>
    <xf numFmtId="0" fontId="13" fillId="6" borderId="8" xfId="0" applyFont="1" applyFill="1" applyBorder="1" applyAlignment="1">
      <alignment vertical="center"/>
    </xf>
    <xf numFmtId="14" fontId="70" fillId="6" borderId="31" xfId="0" applyNumberFormat="1" applyFont="1" applyFill="1" applyBorder="1" applyAlignment="1">
      <alignment horizontal="center" vertical="center"/>
    </xf>
    <xf numFmtId="0" fontId="72" fillId="0" borderId="1" xfId="0" applyFont="1" applyBorder="1" applyAlignment="1">
      <alignment horizontal="center" vertical="center" wrapText="1"/>
    </xf>
    <xf numFmtId="0" fontId="13" fillId="6" borderId="2" xfId="0" applyFont="1" applyFill="1" applyBorder="1" applyAlignment="1">
      <alignment vertical="center"/>
    </xf>
    <xf numFmtId="169" fontId="13" fillId="56" borderId="1" xfId="0" applyNumberFormat="1" applyFont="1" applyFill="1" applyBorder="1" applyAlignment="1">
      <alignment horizontal="center" vertical="center"/>
    </xf>
    <xf numFmtId="0" fontId="13" fillId="6" borderId="12" xfId="0" applyFont="1" applyFill="1" applyBorder="1" applyAlignment="1">
      <alignment vertical="center"/>
    </xf>
    <xf numFmtId="0" fontId="13" fillId="6" borderId="0" xfId="0" applyFont="1" applyFill="1" applyAlignment="1">
      <alignment horizontal="left" vertical="center"/>
    </xf>
    <xf numFmtId="169" fontId="71" fillId="14" borderId="1" xfId="8" applyNumberFormat="1" applyFont="1" applyBorder="1" applyAlignment="1">
      <alignment horizontal="center" vertical="center"/>
    </xf>
    <xf numFmtId="0" fontId="13" fillId="6" borderId="11" xfId="0" applyFont="1" applyFill="1" applyBorder="1" applyAlignment="1">
      <alignment vertical="center"/>
    </xf>
    <xf numFmtId="0" fontId="13" fillId="6" borderId="9" xfId="0" applyFont="1" applyFill="1" applyBorder="1" applyAlignment="1">
      <alignment horizontal="right" vertical="center"/>
    </xf>
    <xf numFmtId="0" fontId="1" fillId="68" borderId="1" xfId="0" applyFont="1" applyFill="1" applyBorder="1" applyAlignment="1">
      <alignment horizontal="center" vertical="center"/>
    </xf>
    <xf numFmtId="0" fontId="13" fillId="6" borderId="10" xfId="0" applyFont="1" applyFill="1" applyBorder="1" applyAlignment="1">
      <alignment vertical="center"/>
    </xf>
    <xf numFmtId="1" fontId="17" fillId="66" borderId="1" xfId="0" applyNumberFormat="1" applyFont="1" applyFill="1" applyBorder="1" applyAlignment="1">
      <alignment horizontal="center" vertical="center"/>
    </xf>
    <xf numFmtId="0" fontId="13" fillId="6" borderId="0" xfId="0" applyFont="1" applyFill="1" applyAlignment="1">
      <alignment vertical="center"/>
    </xf>
    <xf numFmtId="167" fontId="13" fillId="0" borderId="1" xfId="0" applyNumberFormat="1" applyFont="1" applyBorder="1" applyAlignment="1">
      <alignment horizontal="center" vertical="center"/>
    </xf>
    <xf numFmtId="0" fontId="12" fillId="11" borderId="1" xfId="0" applyFont="1" applyFill="1" applyBorder="1" applyAlignment="1">
      <alignment vertical="center"/>
    </xf>
    <xf numFmtId="0" fontId="4" fillId="71" borderId="46" xfId="0" applyFont="1" applyFill="1" applyBorder="1"/>
    <xf numFmtId="0" fontId="34" fillId="71" borderId="46" xfId="0" applyFont="1" applyFill="1" applyBorder="1" applyAlignment="1">
      <alignment vertical="center"/>
    </xf>
    <xf numFmtId="0" fontId="34" fillId="71" borderId="48" xfId="0" applyFont="1" applyFill="1" applyBorder="1" applyAlignment="1">
      <alignment horizontal="center" vertical="center" wrapText="1"/>
    </xf>
    <xf numFmtId="0" fontId="2" fillId="72" borderId="46" xfId="0" applyFont="1" applyFill="1" applyBorder="1" applyAlignment="1">
      <alignment vertical="center"/>
    </xf>
    <xf numFmtId="3" fontId="2" fillId="72" borderId="49" xfId="0" applyNumberFormat="1" applyFont="1" applyFill="1" applyBorder="1" applyAlignment="1">
      <alignment horizontal="center" vertical="center"/>
    </xf>
    <xf numFmtId="10" fontId="2" fillId="72" borderId="50" xfId="0" applyNumberFormat="1" applyFont="1" applyFill="1" applyBorder="1" applyAlignment="1">
      <alignment horizontal="center" vertical="center"/>
    </xf>
    <xf numFmtId="3" fontId="2" fillId="72" borderId="50" xfId="0" applyNumberFormat="1" applyFont="1" applyFill="1" applyBorder="1" applyAlignment="1">
      <alignment horizontal="center" vertical="center"/>
    </xf>
    <xf numFmtId="0" fontId="2" fillId="72" borderId="50" xfId="0" applyFont="1" applyFill="1" applyBorder="1" applyAlignment="1">
      <alignment horizontal="center" vertical="center"/>
    </xf>
    <xf numFmtId="0" fontId="2" fillId="72" borderId="51" xfId="0" applyFont="1" applyFill="1" applyBorder="1" applyAlignment="1">
      <alignment vertical="center"/>
    </xf>
    <xf numFmtId="0" fontId="2" fillId="72" borderId="52" xfId="0" applyFont="1" applyFill="1" applyBorder="1" applyAlignment="1">
      <alignment horizontal="center" vertical="center"/>
    </xf>
    <xf numFmtId="10" fontId="2" fillId="72" borderId="53" xfId="0" applyNumberFormat="1" applyFont="1" applyFill="1" applyBorder="1" applyAlignment="1">
      <alignment horizontal="center" vertical="center"/>
    </xf>
    <xf numFmtId="0" fontId="2" fillId="72" borderId="53" xfId="0" applyFont="1" applyFill="1" applyBorder="1" applyAlignment="1">
      <alignment horizontal="center" vertical="center"/>
    </xf>
    <xf numFmtId="0" fontId="2" fillId="72" borderId="49" xfId="0" applyFont="1" applyFill="1" applyBorder="1" applyAlignment="1">
      <alignment horizontal="center" vertical="center"/>
    </xf>
    <xf numFmtId="0" fontId="34" fillId="71" borderId="54" xfId="0" applyFont="1" applyFill="1" applyBorder="1" applyAlignment="1">
      <alignment vertical="center"/>
    </xf>
    <xf numFmtId="3" fontId="34" fillId="71" borderId="55" xfId="0" applyNumberFormat="1" applyFont="1" applyFill="1" applyBorder="1" applyAlignment="1">
      <alignment horizontal="center" vertical="center"/>
    </xf>
    <xf numFmtId="10" fontId="34" fillId="71" borderId="56" xfId="0" applyNumberFormat="1" applyFont="1" applyFill="1" applyBorder="1" applyAlignment="1">
      <alignment horizontal="center" vertical="center"/>
    </xf>
    <xf numFmtId="3" fontId="34" fillId="71" borderId="56" xfId="0" applyNumberFormat="1" applyFont="1" applyFill="1" applyBorder="1" applyAlignment="1">
      <alignment horizontal="center" vertical="center"/>
    </xf>
    <xf numFmtId="0" fontId="34" fillId="71" borderId="56" xfId="0" applyFont="1" applyFill="1" applyBorder="1" applyAlignment="1">
      <alignment horizontal="center" vertical="center"/>
    </xf>
    <xf numFmtId="0" fontId="5" fillId="4" borderId="31" xfId="0" applyFont="1" applyFill="1" applyBorder="1" applyAlignment="1">
      <alignment vertical="center"/>
    </xf>
    <xf numFmtId="14" fontId="2" fillId="4" borderId="20" xfId="0" applyNumberFormat="1" applyFont="1" applyFill="1" applyBorder="1" applyAlignment="1">
      <alignment horizontal="center" vertical="center"/>
    </xf>
    <xf numFmtId="0" fontId="2" fillId="4" borderId="20" xfId="0" applyFont="1" applyFill="1" applyBorder="1" applyAlignment="1">
      <alignment horizontal="center" vertical="center"/>
    </xf>
    <xf numFmtId="0" fontId="5" fillId="8" borderId="17" xfId="0" applyFont="1" applyFill="1" applyBorder="1" applyAlignment="1">
      <alignment vertical="center"/>
    </xf>
    <xf numFmtId="0" fontId="5" fillId="8" borderId="2" xfId="0" applyFont="1" applyFill="1" applyBorder="1" applyAlignment="1">
      <alignment horizontal="center" vertical="center"/>
    </xf>
    <xf numFmtId="0" fontId="5" fillId="12" borderId="17" xfId="0" applyFont="1" applyFill="1" applyBorder="1" applyAlignment="1">
      <alignment vertical="center"/>
    </xf>
    <xf numFmtId="10" fontId="2" fillId="12" borderId="2" xfId="0" applyNumberFormat="1" applyFont="1" applyFill="1" applyBorder="1" applyAlignment="1">
      <alignment horizontal="center" vertical="center"/>
    </xf>
    <xf numFmtId="10" fontId="2" fillId="0" borderId="2" xfId="0" applyNumberFormat="1" applyFont="1" applyBorder="1" applyAlignment="1">
      <alignment horizontal="center" vertical="center"/>
    </xf>
    <xf numFmtId="0" fontId="2" fillId="47" borderId="17" xfId="0" applyFont="1" applyFill="1" applyBorder="1" applyAlignment="1">
      <alignment horizontal="center" vertical="center"/>
    </xf>
    <xf numFmtId="10" fontId="5" fillId="8" borderId="2" xfId="0" applyNumberFormat="1" applyFont="1" applyFill="1" applyBorder="1" applyAlignment="1">
      <alignment horizontal="center" vertical="center"/>
    </xf>
    <xf numFmtId="14" fontId="39" fillId="0" borderId="1" xfId="0" applyNumberFormat="1" applyFont="1" applyBorder="1" applyAlignment="1">
      <alignment wrapText="1"/>
    </xf>
    <xf numFmtId="0" fontId="39" fillId="0" borderId="1" xfId="0" applyFont="1" applyBorder="1" applyAlignment="1">
      <alignment wrapText="1"/>
    </xf>
    <xf numFmtId="0" fontId="39" fillId="0" borderId="1" xfId="0" applyFont="1" applyBorder="1"/>
    <xf numFmtId="2" fontId="2" fillId="0" borderId="2" xfId="0" applyNumberFormat="1" applyFont="1" applyBorder="1" applyAlignment="1">
      <alignment horizontal="center" vertical="center" wrapText="1"/>
    </xf>
    <xf numFmtId="2" fontId="2" fillId="47" borderId="2" xfId="0" applyNumberFormat="1" applyFont="1" applyFill="1" applyBorder="1" applyAlignment="1">
      <alignment horizontal="center" vertical="center"/>
    </xf>
    <xf numFmtId="2" fontId="2" fillId="47" borderId="2" xfId="0" applyNumberFormat="1" applyFont="1" applyFill="1" applyBorder="1" applyAlignment="1">
      <alignment horizontal="center" vertical="center" wrapText="1"/>
    </xf>
    <xf numFmtId="2" fontId="2" fillId="46" borderId="2" xfId="0" applyNumberFormat="1" applyFont="1" applyFill="1" applyBorder="1" applyAlignment="1">
      <alignment horizontal="center" vertical="center"/>
    </xf>
    <xf numFmtId="2" fontId="2" fillId="0" borderId="2" xfId="0" applyNumberFormat="1" applyFont="1" applyBorder="1" applyAlignment="1">
      <alignment horizontal="center" vertical="center"/>
    </xf>
    <xf numFmtId="6" fontId="0" fillId="0" borderId="0" xfId="0" applyNumberFormat="1"/>
    <xf numFmtId="0" fontId="32" fillId="0" borderId="0" xfId="0" applyFont="1"/>
    <xf numFmtId="0" fontId="32" fillId="0" borderId="1" xfId="0" applyFont="1" applyBorder="1" applyAlignment="1">
      <alignment vertical="center"/>
    </xf>
    <xf numFmtId="0" fontId="2" fillId="0" borderId="0" xfId="0" applyFont="1" applyAlignment="1">
      <alignment vertical="center"/>
    </xf>
    <xf numFmtId="0" fontId="32" fillId="0" borderId="0" xfId="0" applyFont="1" applyAlignment="1">
      <alignment horizontal="center"/>
    </xf>
    <xf numFmtId="0" fontId="5" fillId="74" borderId="1" xfId="0" applyFont="1" applyFill="1" applyBorder="1" applyAlignment="1">
      <alignment vertical="center"/>
    </xf>
    <xf numFmtId="0" fontId="5" fillId="74" borderId="1" xfId="0" applyFont="1" applyFill="1" applyBorder="1" applyAlignment="1">
      <alignment horizontal="center" vertical="center"/>
    </xf>
    <xf numFmtId="14" fontId="5" fillId="74" borderId="1" xfId="0" applyNumberFormat="1" applyFont="1" applyFill="1" applyBorder="1" applyAlignment="1">
      <alignment horizontal="center" vertical="center"/>
    </xf>
    <xf numFmtId="1" fontId="5" fillId="74" borderId="1" xfId="0" applyNumberFormat="1" applyFont="1" applyFill="1" applyBorder="1" applyAlignment="1">
      <alignment horizontal="center" vertical="center"/>
    </xf>
    <xf numFmtId="0" fontId="5" fillId="75" borderId="1" xfId="0" applyFont="1" applyFill="1" applyBorder="1" applyAlignment="1">
      <alignment vertical="center"/>
    </xf>
    <xf numFmtId="0" fontId="5" fillId="75" borderId="1" xfId="0" applyFont="1" applyFill="1" applyBorder="1" applyAlignment="1">
      <alignment horizontal="center" vertical="center"/>
    </xf>
    <xf numFmtId="14" fontId="5" fillId="76" borderId="1" xfId="0" applyNumberFormat="1" applyFont="1" applyFill="1" applyBorder="1" applyAlignment="1">
      <alignment horizontal="center" vertical="center"/>
    </xf>
    <xf numFmtId="1" fontId="5" fillId="75" borderId="1" xfId="0" applyNumberFormat="1" applyFont="1" applyFill="1" applyBorder="1" applyAlignment="1">
      <alignment horizontal="center" vertical="center"/>
    </xf>
    <xf numFmtId="1" fontId="32" fillId="0" borderId="1" xfId="0" applyNumberFormat="1" applyFont="1" applyBorder="1" applyAlignment="1">
      <alignment horizontal="center"/>
    </xf>
    <xf numFmtId="2" fontId="5" fillId="75" borderId="1" xfId="0" applyNumberFormat="1" applyFont="1" applyFill="1" applyBorder="1" applyAlignment="1">
      <alignment horizontal="center" vertical="center"/>
    </xf>
    <xf numFmtId="14" fontId="2" fillId="0" borderId="1" xfId="0" applyNumberFormat="1" applyFont="1" applyBorder="1" applyAlignment="1">
      <alignment wrapText="1"/>
    </xf>
    <xf numFmtId="0" fontId="2" fillId="0" borderId="1" xfId="0" applyFont="1" applyBorder="1"/>
    <xf numFmtId="0" fontId="2" fillId="0" borderId="1" xfId="0" applyFont="1" applyBorder="1" applyAlignment="1">
      <alignment wrapText="1"/>
    </xf>
    <xf numFmtId="0" fontId="74" fillId="0" borderId="1" xfId="0" applyFont="1" applyBorder="1" applyAlignment="1">
      <alignment wrapText="1"/>
    </xf>
    <xf numFmtId="2" fontId="35" fillId="0" borderId="0" xfId="0" applyNumberFormat="1" applyFont="1" applyAlignment="1">
      <alignment horizontal="center" vertical="center" wrapText="1"/>
    </xf>
    <xf numFmtId="2" fontId="33" fillId="0" borderId="0" xfId="0" applyNumberFormat="1" applyFont="1" applyAlignment="1">
      <alignment horizontal="center" vertical="center"/>
    </xf>
    <xf numFmtId="2" fontId="33" fillId="0" borderId="0" xfId="0" applyNumberFormat="1" applyFont="1" applyAlignment="1">
      <alignment vertical="center"/>
    </xf>
    <xf numFmtId="2" fontId="34" fillId="0" borderId="0" xfId="0" applyNumberFormat="1" applyFont="1" applyAlignment="1">
      <alignment horizontal="center" vertical="center" wrapText="1"/>
    </xf>
    <xf numFmtId="2" fontId="5" fillId="0" borderId="0" xfId="0" applyNumberFormat="1" applyFont="1" applyAlignment="1">
      <alignment vertical="center" wrapText="1"/>
    </xf>
    <xf numFmtId="2" fontId="2" fillId="0" borderId="0" xfId="0" applyNumberFormat="1" applyFont="1" applyAlignment="1">
      <alignment horizontal="center" vertical="center" wrapText="1"/>
    </xf>
    <xf numFmtId="2" fontId="2" fillId="0" borderId="0" xfId="0" applyNumberFormat="1" applyFont="1" applyAlignment="1">
      <alignment horizontal="center" vertical="center"/>
    </xf>
    <xf numFmtId="2" fontId="5" fillId="0" borderId="0" xfId="0" applyNumberFormat="1" applyFont="1" applyAlignment="1">
      <alignment horizontal="center" vertical="center" wrapText="1"/>
    </xf>
    <xf numFmtId="2" fontId="2" fillId="0" borderId="0" xfId="0" applyNumberFormat="1" applyFont="1" applyAlignment="1">
      <alignment vertical="center"/>
    </xf>
    <xf numFmtId="2" fontId="36" fillId="0" borderId="0" xfId="0" applyNumberFormat="1" applyFont="1" applyAlignment="1">
      <alignment horizontal="center" vertical="center" wrapText="1"/>
    </xf>
    <xf numFmtId="14" fontId="33" fillId="44" borderId="31" xfId="0" applyNumberFormat="1" applyFont="1" applyFill="1" applyBorder="1" applyAlignment="1">
      <alignment horizontal="center" vertical="center"/>
    </xf>
    <xf numFmtId="0" fontId="33" fillId="44" borderId="20" xfId="0" applyFont="1" applyFill="1" applyBorder="1" applyAlignment="1">
      <alignment vertical="center"/>
    </xf>
    <xf numFmtId="0" fontId="34" fillId="45" borderId="9" xfId="0" applyFont="1" applyFill="1" applyBorder="1" applyAlignment="1">
      <alignment horizontal="center" vertical="center" wrapText="1"/>
    </xf>
    <xf numFmtId="0" fontId="34" fillId="45" borderId="21" xfId="0" applyFont="1" applyFill="1" applyBorder="1" applyAlignment="1">
      <alignment horizontal="center" vertical="center" wrapText="1"/>
    </xf>
    <xf numFmtId="0" fontId="35" fillId="45" borderId="0" xfId="0" applyFont="1" applyFill="1" applyAlignment="1">
      <alignment horizontal="center" vertical="center" wrapText="1"/>
    </xf>
    <xf numFmtId="0" fontId="35" fillId="45" borderId="33" xfId="0" applyFont="1" applyFill="1" applyBorder="1" applyAlignment="1">
      <alignment horizontal="center" vertical="center" wrapText="1"/>
    </xf>
    <xf numFmtId="0" fontId="35" fillId="45" borderId="10" xfId="0" applyFont="1" applyFill="1" applyBorder="1" applyAlignment="1">
      <alignment horizontal="center" vertical="center" wrapText="1"/>
    </xf>
    <xf numFmtId="0" fontId="5" fillId="46" borderId="31" xfId="0" applyFont="1" applyFill="1" applyBorder="1" applyAlignment="1">
      <alignment vertical="center" wrapText="1"/>
    </xf>
    <xf numFmtId="0" fontId="2" fillId="46" borderId="20" xfId="0" applyFont="1" applyFill="1" applyBorder="1" applyAlignment="1">
      <alignment horizontal="center" vertical="center" wrapText="1"/>
    </xf>
    <xf numFmtId="0" fontId="2" fillId="46" borderId="20" xfId="0" applyFont="1" applyFill="1" applyBorder="1" applyAlignment="1">
      <alignment horizontal="center" vertical="center"/>
    </xf>
    <xf numFmtId="0" fontId="5" fillId="0" borderId="17" xfId="0" applyFont="1" applyBorder="1" applyAlignment="1">
      <alignment vertical="center" wrapText="1"/>
    </xf>
    <xf numFmtId="0" fontId="2" fillId="0" borderId="2" xfId="0" applyFont="1" applyBorder="1" applyAlignment="1">
      <alignment horizontal="center" vertical="center" wrapText="1"/>
    </xf>
    <xf numFmtId="0" fontId="2" fillId="47" borderId="2" xfId="0" applyFont="1" applyFill="1" applyBorder="1" applyAlignment="1">
      <alignment horizontal="center" vertical="center"/>
    </xf>
    <xf numFmtId="0" fontId="2" fillId="47" borderId="2" xfId="0" applyFont="1" applyFill="1" applyBorder="1" applyAlignment="1">
      <alignment horizontal="center" vertical="center" wrapText="1"/>
    </xf>
    <xf numFmtId="0" fontId="5" fillId="46" borderId="17" xfId="0" applyFont="1" applyFill="1" applyBorder="1" applyAlignment="1">
      <alignment vertical="center" wrapText="1"/>
    </xf>
    <xf numFmtId="0" fontId="2" fillId="46" borderId="2" xfId="0" applyFont="1" applyFill="1" applyBorder="1" applyAlignment="1">
      <alignment horizontal="center" vertical="center" wrapText="1"/>
    </xf>
    <xf numFmtId="0" fontId="2" fillId="46" borderId="2" xfId="0" applyFont="1" applyFill="1" applyBorder="1" applyAlignment="1">
      <alignment horizontal="center" vertical="center"/>
    </xf>
    <xf numFmtId="0" fontId="2" fillId="0" borderId="2" xfId="0" applyFont="1" applyBorder="1" applyAlignment="1">
      <alignment horizontal="center" vertical="center"/>
    </xf>
    <xf numFmtId="0" fontId="5" fillId="47" borderId="17" xfId="0" applyFont="1" applyFill="1" applyBorder="1" applyAlignment="1">
      <alignment vertical="center" wrapText="1"/>
    </xf>
    <xf numFmtId="0" fontId="5" fillId="8" borderId="17" xfId="0" applyFont="1" applyFill="1" applyBorder="1" applyAlignment="1">
      <alignment vertical="center" wrapText="1"/>
    </xf>
    <xf numFmtId="0" fontId="5" fillId="8" borderId="2" xfId="0" applyFont="1" applyFill="1" applyBorder="1" applyAlignment="1">
      <alignment vertical="center" wrapText="1"/>
    </xf>
    <xf numFmtId="0" fontId="2" fillId="8" borderId="2" xfId="0" applyFont="1" applyFill="1" applyBorder="1" applyAlignment="1">
      <alignment horizontal="center" vertical="center"/>
    </xf>
    <xf numFmtId="0" fontId="5" fillId="8" borderId="2" xfId="0" applyFont="1" applyFill="1" applyBorder="1" applyAlignment="1">
      <alignment horizontal="center" vertical="center" wrapText="1"/>
    </xf>
    <xf numFmtId="0" fontId="2" fillId="0" borderId="31" xfId="0" applyFont="1" applyBorder="1" applyAlignment="1">
      <alignment vertical="center"/>
    </xf>
    <xf numFmtId="0" fontId="2" fillId="0" borderId="20" xfId="0" applyFont="1" applyBorder="1" applyAlignment="1">
      <alignment vertical="center"/>
    </xf>
    <xf numFmtId="0" fontId="2" fillId="46" borderId="17" xfId="0" applyFont="1" applyFill="1" applyBorder="1" applyAlignment="1">
      <alignment vertical="center"/>
    </xf>
    <xf numFmtId="0" fontId="2" fillId="46" borderId="2" xfId="0" applyFont="1" applyFill="1" applyBorder="1" applyAlignment="1">
      <alignment vertical="center"/>
    </xf>
    <xf numFmtId="3" fontId="2" fillId="46" borderId="2" xfId="0" applyNumberFormat="1" applyFont="1" applyFill="1" applyBorder="1" applyAlignment="1">
      <alignment horizontal="center" vertical="center" wrapText="1"/>
    </xf>
    <xf numFmtId="0" fontId="2" fillId="0" borderId="17" xfId="0" applyFont="1" applyBorder="1" applyAlignment="1">
      <alignment vertical="center"/>
    </xf>
    <xf numFmtId="0" fontId="2" fillId="0" borderId="2" xfId="0" applyFont="1" applyBorder="1" applyAlignment="1">
      <alignment vertical="center"/>
    </xf>
    <xf numFmtId="0" fontId="36" fillId="0" borderId="2" xfId="0" applyFont="1" applyBorder="1" applyAlignment="1">
      <alignment horizontal="center" vertical="center" wrapText="1"/>
    </xf>
    <xf numFmtId="0" fontId="36" fillId="47" borderId="37" xfId="0" applyFont="1" applyFill="1" applyBorder="1" applyAlignment="1">
      <alignment horizontal="center" vertical="center" wrapText="1"/>
    </xf>
    <xf numFmtId="0" fontId="36" fillId="47" borderId="2" xfId="0" applyFont="1" applyFill="1" applyBorder="1" applyAlignment="1">
      <alignment horizontal="center" vertical="center" wrapText="1"/>
    </xf>
    <xf numFmtId="3" fontId="36" fillId="47" borderId="2" xfId="0" applyNumberFormat="1" applyFont="1" applyFill="1" applyBorder="1" applyAlignment="1">
      <alignment horizontal="center" vertical="center" wrapText="1"/>
    </xf>
    <xf numFmtId="3" fontId="2" fillId="46" borderId="2" xfId="0" applyNumberFormat="1" applyFont="1" applyFill="1" applyBorder="1" applyAlignment="1">
      <alignment horizontal="center" vertical="center"/>
    </xf>
    <xf numFmtId="4" fontId="2" fillId="47" borderId="2" xfId="0" applyNumberFormat="1" applyFont="1" applyFill="1" applyBorder="1" applyAlignment="1">
      <alignment horizontal="center" vertical="center" wrapText="1"/>
    </xf>
    <xf numFmtId="4" fontId="2" fillId="46" borderId="2" xfId="0" applyNumberFormat="1" applyFont="1" applyFill="1" applyBorder="1" applyAlignment="1">
      <alignment horizontal="center" vertical="center" wrapText="1"/>
    </xf>
    <xf numFmtId="4" fontId="5" fillId="8" borderId="2" xfId="0" applyNumberFormat="1" applyFont="1" applyFill="1" applyBorder="1" applyAlignment="1">
      <alignment horizontal="center" vertical="center" wrapText="1"/>
    </xf>
    <xf numFmtId="10" fontId="5" fillId="60" borderId="1" xfId="1" applyNumberFormat="1" applyFont="1" applyFill="1" applyBorder="1" applyAlignment="1">
      <alignment horizontal="center" vertical="center"/>
    </xf>
    <xf numFmtId="1" fontId="7" fillId="3" borderId="1" xfId="43" applyNumberFormat="1" applyFont="1" applyFill="1" applyBorder="1" applyAlignment="1">
      <alignment horizontal="center" vertical="center"/>
    </xf>
    <xf numFmtId="165" fontId="2" fillId="12" borderId="2" xfId="43" applyNumberFormat="1" applyFont="1" applyFill="1" applyBorder="1" applyAlignment="1">
      <alignment horizontal="center" vertical="center"/>
    </xf>
    <xf numFmtId="165" fontId="2" fillId="12" borderId="10" xfId="43" applyNumberFormat="1" applyFont="1" applyFill="1" applyBorder="1" applyAlignment="1">
      <alignment horizontal="center" vertical="center"/>
    </xf>
    <xf numFmtId="165" fontId="2" fillId="0" borderId="2" xfId="43" applyNumberFormat="1" applyFont="1" applyBorder="1" applyAlignment="1">
      <alignment horizontal="center" vertical="center"/>
    </xf>
    <xf numFmtId="165" fontId="2" fillId="0" borderId="20" xfId="43" applyNumberFormat="1" applyFont="1" applyBorder="1" applyAlignment="1">
      <alignment horizontal="center" vertical="center"/>
    </xf>
    <xf numFmtId="165" fontId="2" fillId="0" borderId="0" xfId="43" applyNumberFormat="1" applyFont="1" applyAlignment="1">
      <alignment horizontal="center" vertical="center"/>
    </xf>
    <xf numFmtId="165" fontId="5" fillId="8" borderId="2" xfId="43" applyNumberFormat="1" applyFont="1" applyFill="1" applyBorder="1" applyAlignment="1">
      <alignment horizontal="center" vertical="center"/>
    </xf>
    <xf numFmtId="0" fontId="72" fillId="77" borderId="1" xfId="0" applyFont="1" applyFill="1" applyBorder="1" applyAlignment="1">
      <alignment horizontal="center" vertical="center"/>
    </xf>
    <xf numFmtId="165" fontId="17" fillId="3" borderId="1" xfId="43" applyNumberFormat="1" applyFont="1" applyFill="1" applyBorder="1" applyAlignment="1">
      <alignment horizontal="center" vertical="center"/>
    </xf>
    <xf numFmtId="165" fontId="17" fillId="3" borderId="1" xfId="43" applyNumberFormat="1" applyFont="1" applyFill="1" applyBorder="1" applyAlignment="1">
      <alignment vertical="center"/>
    </xf>
    <xf numFmtId="9" fontId="0" fillId="0" borderId="1" xfId="0" applyNumberFormat="1" applyBorder="1" applyAlignment="1">
      <alignment horizontal="center"/>
    </xf>
    <xf numFmtId="165" fontId="13" fillId="0" borderId="1" xfId="43" applyNumberFormat="1" applyFont="1" applyBorder="1" applyAlignment="1">
      <alignment vertical="center"/>
    </xf>
    <xf numFmtId="165" fontId="17" fillId="11" borderId="1" xfId="43" applyNumberFormat="1" applyFont="1" applyFill="1" applyBorder="1" applyAlignment="1">
      <alignment vertical="center"/>
    </xf>
    <xf numFmtId="3" fontId="6" fillId="3" borderId="1" xfId="0" applyNumberFormat="1" applyFont="1" applyFill="1" applyBorder="1" applyAlignment="1">
      <alignment horizontal="center" vertical="center"/>
    </xf>
    <xf numFmtId="1" fontId="54" fillId="57" borderId="1" xfId="0" applyNumberFormat="1" applyFont="1" applyFill="1" applyBorder="1" applyAlignment="1">
      <alignment horizontal="center" vertical="center"/>
    </xf>
    <xf numFmtId="2" fontId="12" fillId="0" borderId="1" xfId="0" applyNumberFormat="1" applyFont="1" applyBorder="1" applyAlignment="1">
      <alignment horizontal="center" vertical="center"/>
    </xf>
    <xf numFmtId="1" fontId="15" fillId="0" borderId="1" xfId="0" applyNumberFormat="1" applyFont="1" applyBorder="1" applyAlignment="1">
      <alignment horizontal="center"/>
    </xf>
    <xf numFmtId="1" fontId="17" fillId="3" borderId="1" xfId="0" applyNumberFormat="1" applyFont="1" applyFill="1" applyBorder="1" applyAlignment="1">
      <alignment horizontal="center" vertical="center"/>
    </xf>
    <xf numFmtId="0" fontId="1" fillId="0" borderId="0" xfId="0" applyFont="1"/>
    <xf numFmtId="0" fontId="12" fillId="0" borderId="3" xfId="0" applyFont="1" applyBorder="1" applyAlignment="1">
      <alignment vertical="center"/>
    </xf>
    <xf numFmtId="0" fontId="12" fillId="11" borderId="3" xfId="0" applyFont="1" applyFill="1" applyBorder="1" applyAlignment="1">
      <alignment vertical="center"/>
    </xf>
    <xf numFmtId="0" fontId="12" fillId="11" borderId="3" xfId="0" applyFont="1" applyFill="1" applyBorder="1" applyAlignment="1">
      <alignment horizontal="center" vertical="center"/>
    </xf>
    <xf numFmtId="0" fontId="12" fillId="11" borderId="1" xfId="0" applyFont="1" applyFill="1" applyBorder="1" applyAlignment="1">
      <alignment horizontal="center" vertical="center"/>
    </xf>
    <xf numFmtId="0" fontId="2" fillId="11" borderId="1" xfId="0" applyFont="1" applyFill="1" applyBorder="1" applyAlignment="1">
      <alignment vertical="center"/>
    </xf>
    <xf numFmtId="0" fontId="5" fillId="2" borderId="1" xfId="0" applyFont="1" applyFill="1" applyBorder="1" applyAlignment="1">
      <alignment vertical="center"/>
    </xf>
    <xf numFmtId="9" fontId="56" fillId="2" borderId="1" xfId="1" applyFont="1" applyFill="1" applyBorder="1" applyAlignment="1">
      <alignment horizontal="center"/>
    </xf>
    <xf numFmtId="9" fontId="56" fillId="11" borderId="1" xfId="1" applyFont="1" applyFill="1" applyBorder="1" applyAlignment="1">
      <alignment horizontal="center" vertical="center"/>
    </xf>
    <xf numFmtId="0" fontId="32" fillId="0" borderId="1" xfId="0" applyFont="1" applyBorder="1" applyAlignment="1">
      <alignment horizontal="center" wrapText="1"/>
    </xf>
    <xf numFmtId="10" fontId="47" fillId="0" borderId="5" xfId="0" applyNumberFormat="1" applyFont="1" applyBorder="1" applyAlignment="1">
      <alignment horizontal="center" vertical="center" wrapText="1" readingOrder="1"/>
    </xf>
    <xf numFmtId="16" fontId="2" fillId="0" borderId="1" xfId="0" applyNumberFormat="1" applyFont="1" applyBorder="1" applyAlignment="1">
      <alignment horizontal="center" vertical="center"/>
    </xf>
    <xf numFmtId="0" fontId="2" fillId="0" borderId="1" xfId="0" applyFont="1" applyBorder="1" applyAlignment="1">
      <alignment horizontal="left" vertical="center"/>
    </xf>
    <xf numFmtId="0" fontId="4" fillId="0" borderId="0" xfId="0" applyFont="1"/>
    <xf numFmtId="0" fontId="76" fillId="57" borderId="21" xfId="0" applyFont="1" applyFill="1" applyBorder="1" applyAlignment="1">
      <alignment vertical="center" wrapText="1"/>
    </xf>
    <xf numFmtId="0" fontId="0" fillId="57" borderId="17" xfId="0" applyFill="1" applyBorder="1" applyAlignment="1">
      <alignment vertical="center" wrapText="1"/>
    </xf>
    <xf numFmtId="0" fontId="77" fillId="80" borderId="10" xfId="0" applyFont="1" applyFill="1" applyBorder="1" applyAlignment="1">
      <alignment horizontal="center" vertical="center" wrapText="1"/>
    </xf>
    <xf numFmtId="0" fontId="0" fillId="80" borderId="2" xfId="0" applyFill="1" applyBorder="1" applyAlignment="1">
      <alignment vertical="center" wrapText="1"/>
    </xf>
    <xf numFmtId="0" fontId="77" fillId="80" borderId="2" xfId="0" applyFont="1" applyFill="1" applyBorder="1" applyAlignment="1">
      <alignment horizontal="center" vertical="center" wrapText="1"/>
    </xf>
    <xf numFmtId="0" fontId="76" fillId="57" borderId="10" xfId="0" applyFont="1" applyFill="1" applyBorder="1" applyAlignment="1">
      <alignment horizontal="center" vertical="center" wrapText="1"/>
    </xf>
    <xf numFmtId="0" fontId="0" fillId="57" borderId="2" xfId="0" applyFill="1" applyBorder="1" applyAlignment="1">
      <alignment vertical="center" wrapText="1"/>
    </xf>
    <xf numFmtId="0" fontId="77" fillId="79" borderId="17" xfId="0" applyFont="1" applyFill="1" applyBorder="1" applyAlignment="1">
      <alignment vertical="center"/>
    </xf>
    <xf numFmtId="0" fontId="11" fillId="0" borderId="2" xfId="0" applyFont="1" applyBorder="1" applyAlignment="1">
      <alignment horizontal="center" vertical="center"/>
    </xf>
    <xf numFmtId="0" fontId="78" fillId="78" borderId="2" xfId="0" applyFont="1" applyFill="1" applyBorder="1" applyAlignment="1">
      <alignment horizontal="center" vertical="center"/>
    </xf>
    <xf numFmtId="0" fontId="77" fillId="79" borderId="2" xfId="0" applyFont="1" applyFill="1" applyBorder="1" applyAlignment="1">
      <alignment horizontal="center" vertical="center"/>
    </xf>
    <xf numFmtId="0" fontId="79" fillId="78" borderId="2" xfId="0" applyFont="1" applyFill="1" applyBorder="1" applyAlignment="1">
      <alignment horizontal="center" vertical="center"/>
    </xf>
    <xf numFmtId="0" fontId="76" fillId="57" borderId="17" xfId="0" applyFont="1" applyFill="1" applyBorder="1" applyAlignment="1">
      <alignment vertical="center"/>
    </xf>
    <xf numFmtId="0" fontId="77" fillId="80" borderId="2" xfId="0" applyFont="1" applyFill="1" applyBorder="1" applyAlignment="1">
      <alignment horizontal="center" vertical="center"/>
    </xf>
    <xf numFmtId="0" fontId="32" fillId="0" borderId="16" xfId="0" applyFont="1" applyBorder="1" applyAlignment="1">
      <alignment horizontal="center" vertical="center"/>
    </xf>
    <xf numFmtId="2" fontId="32" fillId="0" borderId="16" xfId="0" applyNumberFormat="1" applyFont="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center" vertical="center"/>
    </xf>
    <xf numFmtId="0" fontId="4" fillId="0" borderId="0" xfId="0" applyFont="1" applyAlignment="1">
      <alignment horizontal="left"/>
    </xf>
    <xf numFmtId="0" fontId="6" fillId="7" borderId="1" xfId="0" applyFont="1" applyFill="1" applyBorder="1" applyAlignment="1">
      <alignment horizontal="left" vertical="center"/>
    </xf>
    <xf numFmtId="0" fontId="6" fillId="7" borderId="1" xfId="0" applyFont="1" applyFill="1" applyBorder="1" applyAlignment="1">
      <alignment horizontal="center" vertical="center"/>
    </xf>
    <xf numFmtId="0" fontId="6" fillId="7" borderId="3"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5" xfId="0" applyFont="1" applyFill="1" applyBorder="1" applyAlignment="1">
      <alignment horizontal="center" vertical="center"/>
    </xf>
    <xf numFmtId="0" fontId="45" fillId="0" borderId="1" xfId="0" applyFont="1" applyBorder="1" applyAlignment="1">
      <alignment horizontal="center" vertical="center" wrapText="1" readingOrder="1"/>
    </xf>
    <xf numFmtId="0" fontId="46" fillId="54" borderId="1" xfId="0" applyFont="1" applyFill="1" applyBorder="1" applyAlignment="1">
      <alignment horizontal="center" vertical="center" wrapText="1" readingOrder="1"/>
    </xf>
    <xf numFmtId="9" fontId="47" fillId="0" borderId="1" xfId="0" applyNumberFormat="1" applyFont="1" applyBorder="1" applyAlignment="1">
      <alignment horizontal="center" vertical="center" wrapText="1" readingOrder="1"/>
    </xf>
    <xf numFmtId="0" fontId="40" fillId="52" borderId="1" xfId="0" applyFont="1" applyFill="1" applyBorder="1" applyAlignment="1">
      <alignment horizontal="center" vertical="center" wrapText="1"/>
    </xf>
    <xf numFmtId="0" fontId="40" fillId="52" borderId="1" xfId="0" applyFont="1" applyFill="1" applyBorder="1" applyAlignment="1">
      <alignment horizontal="left" vertical="center" wrapText="1"/>
    </xf>
    <xf numFmtId="0" fontId="41" fillId="0" borderId="1" xfId="0" applyFont="1" applyBorder="1" applyAlignment="1">
      <alignment horizontal="center" vertical="center"/>
    </xf>
    <xf numFmtId="0" fontId="41" fillId="0" borderId="1" xfId="0" applyFont="1" applyBorder="1" applyAlignment="1">
      <alignment horizontal="center" vertical="center" wrapText="1"/>
    </xf>
    <xf numFmtId="0" fontId="41" fillId="0" borderId="1" xfId="0" applyFont="1" applyBorder="1" applyAlignment="1">
      <alignment horizontal="left" vertical="center" wrapText="1"/>
    </xf>
    <xf numFmtId="0" fontId="7" fillId="0" borderId="1" xfId="0" applyFont="1" applyBorder="1" applyAlignment="1">
      <alignment horizontal="center" vertical="center" wrapText="1"/>
    </xf>
    <xf numFmtId="9" fontId="41" fillId="0" borderId="1" xfId="0" applyNumberFormat="1" applyFont="1" applyBorder="1" applyAlignment="1">
      <alignment horizontal="center" vertical="center"/>
    </xf>
    <xf numFmtId="10" fontId="42" fillId="5" borderId="1" xfId="1" applyNumberFormat="1" applyFont="1" applyFill="1" applyBorder="1" applyAlignment="1">
      <alignment horizontal="center" vertical="center"/>
    </xf>
    <xf numFmtId="10" fontId="41" fillId="5" borderId="1" xfId="0" applyNumberFormat="1" applyFont="1" applyFill="1" applyBorder="1" applyAlignment="1">
      <alignment horizontal="center" vertical="center"/>
    </xf>
    <xf numFmtId="0" fontId="7" fillId="0" borderId="1" xfId="0" applyFont="1" applyBorder="1" applyAlignment="1">
      <alignment horizontal="left" vertical="center" wrapText="1"/>
    </xf>
    <xf numFmtId="10" fontId="13" fillId="5" borderId="1" xfId="1" applyNumberFormat="1" applyFont="1" applyFill="1" applyBorder="1" applyAlignment="1">
      <alignment horizontal="center" vertical="center"/>
    </xf>
    <xf numFmtId="9" fontId="7" fillId="0" borderId="1" xfId="0" applyNumberFormat="1" applyFont="1" applyBorder="1" applyAlignment="1">
      <alignment horizontal="center" vertical="center"/>
    </xf>
    <xf numFmtId="0" fontId="0" fillId="0" borderId="1" xfId="0" applyBorder="1" applyAlignment="1">
      <alignment horizontal="center" vertical="center"/>
    </xf>
    <xf numFmtId="9" fontId="7" fillId="5" borderId="14" xfId="1" applyFont="1" applyFill="1" applyBorder="1" applyAlignment="1">
      <alignment horizontal="center" vertical="center"/>
    </xf>
    <xf numFmtId="9" fontId="7" fillId="5" borderId="15" xfId="1" applyFont="1" applyFill="1" applyBorder="1" applyAlignment="1">
      <alignment horizontal="center" vertical="center"/>
    </xf>
    <xf numFmtId="0" fontId="6" fillId="0" borderId="13" xfId="0" applyFont="1" applyBorder="1" applyAlignment="1">
      <alignment horizontal="center" wrapText="1"/>
    </xf>
    <xf numFmtId="0" fontId="6" fillId="0" borderId="0" xfId="0" applyFont="1" applyAlignment="1">
      <alignment horizontal="center" wrapText="1"/>
    </xf>
    <xf numFmtId="10" fontId="7" fillId="5" borderId="1" xfId="1" applyNumberFormat="1" applyFont="1" applyFill="1" applyBorder="1" applyAlignment="1">
      <alignment horizontal="center" vertical="center"/>
    </xf>
    <xf numFmtId="10" fontId="8" fillId="49" borderId="1" xfId="1" applyNumberFormat="1" applyFont="1" applyFill="1" applyBorder="1" applyAlignment="1">
      <alignment horizontal="center" vertical="center"/>
    </xf>
    <xf numFmtId="10" fontId="8" fillId="5" borderId="1" xfId="1" applyNumberFormat="1" applyFont="1" applyFill="1" applyBorder="1" applyAlignment="1">
      <alignment horizontal="center" vertical="center"/>
    </xf>
    <xf numFmtId="9" fontId="7" fillId="5" borderId="1" xfId="1" applyFont="1" applyFill="1" applyBorder="1" applyAlignment="1">
      <alignment horizontal="center" vertical="center"/>
    </xf>
    <xf numFmtId="0" fontId="31" fillId="3" borderId="1" xfId="0" applyFont="1" applyFill="1" applyBorder="1" applyAlignment="1">
      <alignment horizontal="center" vertical="center"/>
    </xf>
    <xf numFmtId="0" fontId="73" fillId="57" borderId="0" xfId="0" applyFont="1" applyFill="1" applyAlignment="1">
      <alignment horizontal="center" vertical="center"/>
    </xf>
    <xf numFmtId="0" fontId="53" fillId="68" borderId="1" xfId="0" applyFont="1" applyFill="1" applyBorder="1" applyAlignment="1">
      <alignment horizontal="center" vertical="center"/>
    </xf>
    <xf numFmtId="0" fontId="53" fillId="73" borderId="0" xfId="0" applyFont="1" applyFill="1" applyAlignment="1">
      <alignment horizontal="center" vertical="center"/>
    </xf>
    <xf numFmtId="0" fontId="31" fillId="3" borderId="43" xfId="0" applyFont="1" applyFill="1" applyBorder="1" applyAlignment="1">
      <alignment horizontal="center" vertical="center"/>
    </xf>
    <xf numFmtId="0" fontId="31" fillId="3" borderId="4" xfId="0" applyFont="1" applyFill="1" applyBorder="1" applyAlignment="1">
      <alignment horizontal="center" vertical="center"/>
    </xf>
    <xf numFmtId="2" fontId="5" fillId="0" borderId="0" xfId="0" applyNumberFormat="1" applyFont="1" applyAlignment="1">
      <alignment horizontal="center" vertical="center" wrapText="1"/>
    </xf>
    <xf numFmtId="2" fontId="35" fillId="0" borderId="0" xfId="0" applyNumberFormat="1" applyFont="1" applyAlignment="1">
      <alignment horizontal="center" vertical="center" wrapText="1"/>
    </xf>
    <xf numFmtId="2" fontId="34" fillId="0" borderId="0" xfId="0" applyNumberFormat="1" applyFont="1" applyAlignment="1">
      <alignment horizontal="center" vertical="center" wrapText="1"/>
    </xf>
    <xf numFmtId="2" fontId="33" fillId="0" borderId="0" xfId="0" applyNumberFormat="1" applyFont="1" applyAlignment="1">
      <alignment horizontal="center" vertical="center"/>
    </xf>
    <xf numFmtId="0" fontId="33" fillId="44" borderId="19" xfId="0" applyFont="1" applyFill="1" applyBorder="1" applyAlignment="1">
      <alignment horizontal="center" vertical="center"/>
    </xf>
    <xf numFmtId="0" fontId="33" fillId="44" borderId="20" xfId="0" applyFont="1" applyFill="1" applyBorder="1" applyAlignment="1">
      <alignment horizontal="center" vertical="center"/>
    </xf>
    <xf numFmtId="0" fontId="33" fillId="44" borderId="36" xfId="0" applyFont="1" applyFill="1" applyBorder="1" applyAlignment="1">
      <alignment horizontal="center" vertical="center"/>
    </xf>
    <xf numFmtId="0" fontId="33" fillId="44" borderId="41" xfId="0" applyFont="1" applyFill="1" applyBorder="1" applyAlignment="1">
      <alignment horizontal="center" vertical="center"/>
    </xf>
    <xf numFmtId="0" fontId="35" fillId="45" borderId="35" xfId="0" applyFont="1" applyFill="1" applyBorder="1" applyAlignment="1">
      <alignment horizontal="center" vertical="center" wrapText="1"/>
    </xf>
    <xf numFmtId="0" fontId="35" fillId="45" borderId="34" xfId="0" applyFont="1" applyFill="1" applyBorder="1" applyAlignment="1">
      <alignment horizontal="center" vertical="center" wrapText="1"/>
    </xf>
    <xf numFmtId="0" fontId="35" fillId="45" borderId="32" xfId="0" applyFont="1" applyFill="1" applyBorder="1" applyAlignment="1">
      <alignment horizontal="center" vertical="center" wrapText="1"/>
    </xf>
    <xf numFmtId="0" fontId="35" fillId="45" borderId="33" xfId="0" applyFont="1" applyFill="1" applyBorder="1" applyAlignment="1">
      <alignment horizontal="center" vertical="center" wrapText="1"/>
    </xf>
    <xf numFmtId="10" fontId="5" fillId="8" borderId="11" xfId="0" applyNumberFormat="1" applyFont="1" applyFill="1" applyBorder="1" applyAlignment="1">
      <alignment horizontal="center" vertical="center" wrapText="1"/>
    </xf>
    <xf numFmtId="10" fontId="5" fillId="8" borderId="2" xfId="0" applyNumberFormat="1" applyFont="1" applyFill="1" applyBorder="1" applyAlignment="1">
      <alignment horizontal="center" vertical="center" wrapText="1"/>
    </xf>
    <xf numFmtId="10" fontId="5" fillId="8" borderId="12" xfId="0" applyNumberFormat="1" applyFont="1" applyFill="1" applyBorder="1" applyAlignment="1">
      <alignment horizontal="center" vertical="center" wrapText="1"/>
    </xf>
    <xf numFmtId="0" fontId="2" fillId="72" borderId="12" xfId="0" applyFont="1" applyFill="1" applyBorder="1" applyAlignment="1">
      <alignment horizontal="center" vertical="center" wrapText="1"/>
    </xf>
    <xf numFmtId="0" fontId="2" fillId="72" borderId="58" xfId="0" applyFont="1" applyFill="1" applyBorder="1" applyAlignment="1">
      <alignment horizontal="center" vertical="center" wrapText="1"/>
    </xf>
    <xf numFmtId="10" fontId="5" fillId="8" borderId="59" xfId="0" applyNumberFormat="1" applyFont="1" applyFill="1" applyBorder="1" applyAlignment="1">
      <alignment horizontal="center" vertical="center" wrapText="1"/>
    </xf>
    <xf numFmtId="0" fontId="34" fillId="45" borderId="6" xfId="0" applyFont="1" applyFill="1" applyBorder="1" applyAlignment="1">
      <alignment horizontal="center" vertical="center" wrapText="1"/>
    </xf>
    <xf numFmtId="0" fontId="34" fillId="45" borderId="34" xfId="0" applyFont="1" applyFill="1" applyBorder="1" applyAlignment="1">
      <alignment horizontal="center" vertical="center" wrapText="1"/>
    </xf>
    <xf numFmtId="0" fontId="34" fillId="45" borderId="9" xfId="0" applyFont="1" applyFill="1" applyBorder="1" applyAlignment="1">
      <alignment horizontal="center" vertical="center" wrapText="1"/>
    </xf>
    <xf numFmtId="0" fontId="34" fillId="45" borderId="33" xfId="0" applyFont="1" applyFill="1" applyBorder="1" applyAlignment="1">
      <alignment horizontal="center" vertical="center" wrapText="1"/>
    </xf>
    <xf numFmtId="10" fontId="68" fillId="67" borderId="11" xfId="0" applyNumberFormat="1" applyFont="1" applyFill="1" applyBorder="1" applyAlignment="1">
      <alignment horizontal="center" vertical="center" wrapText="1"/>
    </xf>
    <xf numFmtId="10" fontId="68" fillId="67" borderId="2" xfId="0" applyNumberFormat="1" applyFont="1" applyFill="1" applyBorder="1" applyAlignment="1">
      <alignment horizontal="center" vertical="center" wrapText="1"/>
    </xf>
    <xf numFmtId="0" fontId="53" fillId="68" borderId="42" xfId="0" applyFont="1" applyFill="1" applyBorder="1" applyAlignment="1">
      <alignment horizontal="center" vertical="center"/>
    </xf>
    <xf numFmtId="0" fontId="53" fillId="68" borderId="43" xfId="0" applyFont="1" applyFill="1" applyBorder="1" applyAlignment="1">
      <alignment horizontal="center" vertical="center"/>
    </xf>
    <xf numFmtId="0" fontId="14" fillId="58" borderId="1" xfId="0" applyFont="1" applyFill="1" applyBorder="1" applyAlignment="1">
      <alignment horizontal="center" vertical="center"/>
    </xf>
    <xf numFmtId="0" fontId="34" fillId="71" borderId="57" xfId="0" applyFont="1" applyFill="1" applyBorder="1" applyAlignment="1">
      <alignment horizontal="center" vertical="center" wrapText="1"/>
    </xf>
    <xf numFmtId="0" fontId="34" fillId="71" borderId="0" xfId="0" applyFont="1" applyFill="1" applyAlignment="1">
      <alignment horizontal="center" vertical="center" wrapText="1"/>
    </xf>
    <xf numFmtId="0" fontId="34" fillId="71" borderId="47" xfId="0" applyFont="1" applyFill="1" applyBorder="1" applyAlignment="1">
      <alignment horizontal="center" vertical="center" wrapText="1"/>
    </xf>
    <xf numFmtId="0" fontId="28" fillId="57" borderId="1" xfId="0" applyFont="1" applyFill="1" applyBorder="1" applyAlignment="1">
      <alignment horizontal="center" vertical="center"/>
    </xf>
    <xf numFmtId="0" fontId="17" fillId="3" borderId="1" xfId="0" applyFont="1" applyFill="1" applyBorder="1" applyAlignment="1">
      <alignment horizontal="center" vertical="center"/>
    </xf>
    <xf numFmtId="166" fontId="54" fillId="57" borderId="1" xfId="0" applyNumberFormat="1" applyFont="1" applyFill="1" applyBorder="1" applyAlignment="1">
      <alignment horizontal="center" vertical="center" textRotation="90" wrapText="1"/>
    </xf>
    <xf numFmtId="0" fontId="54" fillId="57" borderId="1" xfId="0" applyFont="1" applyFill="1" applyBorder="1" applyAlignment="1">
      <alignment horizontal="center" vertical="center"/>
    </xf>
    <xf numFmtId="0" fontId="54" fillId="57" borderId="1" xfId="0" applyFont="1" applyFill="1" applyBorder="1" applyAlignment="1">
      <alignment horizontal="center" vertical="center" wrapText="1"/>
    </xf>
    <xf numFmtId="165" fontId="54" fillId="57" borderId="1" xfId="43" applyNumberFormat="1" applyFont="1" applyFill="1" applyBorder="1" applyAlignment="1">
      <alignment horizontal="center" vertical="center"/>
    </xf>
    <xf numFmtId="0" fontId="31" fillId="10" borderId="1" xfId="0" applyFont="1" applyFill="1" applyBorder="1" applyAlignment="1">
      <alignment horizontal="center" vertical="center"/>
    </xf>
    <xf numFmtId="0" fontId="1" fillId="2" borderId="1" xfId="0" applyFont="1" applyFill="1" applyBorder="1" applyAlignment="1">
      <alignment horizontal="center" vertical="center"/>
    </xf>
    <xf numFmtId="17" fontId="1" fillId="11" borderId="1" xfId="0" applyNumberFormat="1" applyFont="1" applyFill="1" applyBorder="1" applyAlignment="1">
      <alignment horizontal="center" vertical="center"/>
    </xf>
    <xf numFmtId="164" fontId="31" fillId="10" borderId="14" xfId="0" applyNumberFormat="1" applyFont="1" applyFill="1" applyBorder="1" applyAlignment="1">
      <alignment horizontal="center" vertical="center" textRotation="90"/>
    </xf>
    <xf numFmtId="164" fontId="31" fillId="10" borderId="16" xfId="0" applyNumberFormat="1" applyFont="1" applyFill="1" applyBorder="1" applyAlignment="1">
      <alignment horizontal="center" vertical="center" textRotation="90"/>
    </xf>
    <xf numFmtId="164" fontId="31" fillId="10" borderId="15" xfId="0" applyNumberFormat="1" applyFont="1" applyFill="1" applyBorder="1" applyAlignment="1">
      <alignment horizontal="center" vertical="center" textRotation="90"/>
    </xf>
    <xf numFmtId="166" fontId="69" fillId="57" borderId="16" xfId="0" applyNumberFormat="1" applyFont="1" applyFill="1" applyBorder="1" applyAlignment="1">
      <alignment horizontal="center" vertical="center" textRotation="90"/>
    </xf>
    <xf numFmtId="166" fontId="69" fillId="57" borderId="15" xfId="0" applyNumberFormat="1" applyFont="1" applyFill="1" applyBorder="1" applyAlignment="1">
      <alignment horizontal="center" vertical="center" textRotation="90"/>
    </xf>
    <xf numFmtId="0" fontId="17" fillId="3" borderId="3" xfId="0" applyFont="1" applyFill="1" applyBorder="1" applyAlignment="1">
      <alignment horizontal="center" vertical="center"/>
    </xf>
    <xf numFmtId="0" fontId="17" fillId="3" borderId="5" xfId="0" applyFont="1" applyFill="1" applyBorder="1" applyAlignment="1">
      <alignment horizontal="center" vertical="center"/>
    </xf>
    <xf numFmtId="0" fontId="69" fillId="70" borderId="3" xfId="0" applyFont="1" applyFill="1" applyBorder="1" applyAlignment="1">
      <alignment horizontal="center" vertical="center"/>
    </xf>
    <xf numFmtId="0" fontId="69" fillId="70" borderId="4" xfId="0" applyFont="1" applyFill="1" applyBorder="1" applyAlignment="1">
      <alignment horizontal="center" vertical="center"/>
    </xf>
    <xf numFmtId="0" fontId="69" fillId="70" borderId="5" xfId="0" applyFont="1" applyFill="1" applyBorder="1" applyAlignment="1">
      <alignment horizontal="center" vertical="center"/>
    </xf>
    <xf numFmtId="168" fontId="31" fillId="56" borderId="3" xfId="0" applyNumberFormat="1" applyFont="1" applyFill="1" applyBorder="1" applyAlignment="1">
      <alignment horizontal="center" vertical="center"/>
    </xf>
    <xf numFmtId="168" fontId="31" fillId="56" borderId="4" xfId="0" applyNumberFormat="1" applyFont="1" applyFill="1" applyBorder="1" applyAlignment="1">
      <alignment horizontal="center" vertical="center"/>
    </xf>
    <xf numFmtId="168" fontId="31" fillId="56" borderId="5" xfId="0" applyNumberFormat="1" applyFont="1" applyFill="1" applyBorder="1" applyAlignment="1">
      <alignment horizontal="center" vertical="center"/>
    </xf>
    <xf numFmtId="0" fontId="31" fillId="3" borderId="3" xfId="0" applyFont="1" applyFill="1" applyBorder="1" applyAlignment="1">
      <alignment horizontal="center" vertical="center"/>
    </xf>
    <xf numFmtId="0" fontId="13" fillId="6" borderId="0" xfId="0" applyFont="1" applyFill="1" applyAlignment="1">
      <alignment horizontal="left" vertical="center"/>
    </xf>
    <xf numFmtId="0" fontId="13" fillId="6" borderId="10" xfId="0" applyFont="1" applyFill="1" applyBorder="1" applyAlignment="1">
      <alignment horizontal="left" vertical="center"/>
    </xf>
    <xf numFmtId="166" fontId="69" fillId="57" borderId="44" xfId="0" applyNumberFormat="1" applyFont="1" applyFill="1" applyBorder="1" applyAlignment="1">
      <alignment horizontal="center" vertical="center" textRotation="90"/>
    </xf>
    <xf numFmtId="166" fontId="69" fillId="57" borderId="45" xfId="0" applyNumberFormat="1" applyFont="1" applyFill="1" applyBorder="1" applyAlignment="1">
      <alignment horizontal="center" vertical="center" textRotation="90"/>
    </xf>
    <xf numFmtId="0" fontId="28" fillId="57" borderId="3" xfId="0" applyFont="1" applyFill="1" applyBorder="1" applyAlignment="1">
      <alignment horizontal="center" vertical="center"/>
    </xf>
    <xf numFmtId="0" fontId="28" fillId="57" borderId="4" xfId="0" applyFont="1" applyFill="1" applyBorder="1" applyAlignment="1">
      <alignment horizontal="center" vertical="center"/>
    </xf>
    <xf numFmtId="0" fontId="17" fillId="2" borderId="1" xfId="0" applyFont="1" applyFill="1" applyBorder="1" applyAlignment="1">
      <alignment horizontal="center" vertical="center"/>
    </xf>
    <xf numFmtId="0" fontId="17" fillId="9" borderId="1" xfId="0" applyFont="1" applyFill="1" applyBorder="1" applyAlignment="1">
      <alignment horizontal="center" vertical="center"/>
    </xf>
    <xf numFmtId="0" fontId="69" fillId="57" borderId="1" xfId="0" applyFont="1" applyFill="1" applyBorder="1" applyAlignment="1">
      <alignment horizontal="center" vertical="center"/>
    </xf>
    <xf numFmtId="0" fontId="53" fillId="10" borderId="3" xfId="0" applyFont="1" applyFill="1" applyBorder="1" applyAlignment="1">
      <alignment horizontal="left" vertical="center"/>
    </xf>
    <xf numFmtId="0" fontId="53" fillId="10" borderId="5" xfId="0" applyFont="1" applyFill="1" applyBorder="1" applyAlignment="1">
      <alignment horizontal="left" vertical="center"/>
    </xf>
    <xf numFmtId="0" fontId="58" fillId="63" borderId="18" xfId="0" applyFont="1" applyFill="1" applyBorder="1" applyAlignment="1">
      <alignment horizontal="center" vertical="center"/>
    </xf>
    <xf numFmtId="0" fontId="58" fillId="63" borderId="21" xfId="0" applyFont="1" applyFill="1" applyBorder="1" applyAlignment="1">
      <alignment horizontal="center" vertical="center"/>
    </xf>
    <xf numFmtId="0" fontId="58" fillId="63" borderId="17" xfId="0" applyFont="1" applyFill="1" applyBorder="1" applyAlignment="1">
      <alignment horizontal="center" vertical="center"/>
    </xf>
    <xf numFmtId="0" fontId="58" fillId="63" borderId="18" xfId="0" applyFont="1" applyFill="1" applyBorder="1" applyAlignment="1">
      <alignment horizontal="center" vertical="center" wrapText="1"/>
    </xf>
    <xf numFmtId="0" fontId="58" fillId="63" borderId="21" xfId="0" applyFont="1" applyFill="1" applyBorder="1" applyAlignment="1">
      <alignment horizontal="center" vertical="center" wrapText="1"/>
    </xf>
    <xf numFmtId="0" fontId="58" fillId="63" borderId="17" xfId="0" applyFont="1" applyFill="1" applyBorder="1" applyAlignment="1">
      <alignment horizontal="center" vertical="center" wrapText="1"/>
    </xf>
    <xf numFmtId="0" fontId="58" fillId="63" borderId="38" xfId="0" applyFont="1" applyFill="1" applyBorder="1" applyAlignment="1">
      <alignment horizontal="center" vertical="center" wrapText="1"/>
    </xf>
    <xf numFmtId="0" fontId="58" fillId="63" borderId="38" xfId="0" applyFont="1" applyFill="1" applyBorder="1" applyAlignment="1">
      <alignment horizontal="center" vertical="center"/>
    </xf>
    <xf numFmtId="0" fontId="5" fillId="79" borderId="19" xfId="0" applyFont="1" applyFill="1" applyBorder="1" applyAlignment="1">
      <alignment horizontal="center" vertical="center"/>
    </xf>
    <xf numFmtId="0" fontId="5" fillId="79" borderId="60" xfId="0" applyFont="1" applyFill="1" applyBorder="1" applyAlignment="1">
      <alignment horizontal="center" vertical="center"/>
    </xf>
    <xf numFmtId="0" fontId="5" fillId="79" borderId="20" xfId="0" applyFont="1" applyFill="1" applyBorder="1" applyAlignment="1">
      <alignment horizontal="center" vertical="center"/>
    </xf>
    <xf numFmtId="0" fontId="75" fillId="57" borderId="19" xfId="0" applyFont="1" applyFill="1" applyBorder="1" applyAlignment="1">
      <alignment horizontal="center" vertical="center"/>
    </xf>
    <xf numFmtId="0" fontId="75" fillId="57" borderId="60" xfId="0" applyFont="1" applyFill="1" applyBorder="1" applyAlignment="1">
      <alignment horizontal="center" vertical="center"/>
    </xf>
    <xf numFmtId="0" fontId="75" fillId="57" borderId="20" xfId="0" applyFont="1" applyFill="1" applyBorder="1" applyAlignment="1">
      <alignment horizontal="center" vertical="center"/>
    </xf>
    <xf numFmtId="0" fontId="77" fillId="80" borderId="18" xfId="0" applyFont="1" applyFill="1" applyBorder="1" applyAlignment="1">
      <alignment horizontal="center" vertical="center"/>
    </xf>
    <xf numFmtId="0" fontId="77" fillId="80" borderId="21" xfId="0" applyFont="1" applyFill="1" applyBorder="1" applyAlignment="1">
      <alignment horizontal="center" vertical="center"/>
    </xf>
    <xf numFmtId="0" fontId="77" fillId="80" borderId="17" xfId="0" applyFont="1" applyFill="1" applyBorder="1" applyAlignment="1">
      <alignment horizontal="center" vertical="center"/>
    </xf>
    <xf numFmtId="0" fontId="77" fillId="80" borderId="18" xfId="0" applyFont="1" applyFill="1" applyBorder="1" applyAlignment="1">
      <alignment horizontal="center" vertical="center" wrapText="1"/>
    </xf>
    <xf numFmtId="0" fontId="77" fillId="80" borderId="21" xfId="0" applyFont="1" applyFill="1" applyBorder="1" applyAlignment="1">
      <alignment horizontal="center" vertical="center" wrapText="1"/>
    </xf>
    <xf numFmtId="0" fontId="77" fillId="80" borderId="17" xfId="0" applyFont="1" applyFill="1" applyBorder="1" applyAlignment="1">
      <alignment horizontal="center" vertical="center" wrapText="1"/>
    </xf>
  </cellXfs>
  <cellStyles count="50">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43" builtinId="3"/>
    <cellStyle name="Currency 2" xfId="49" xr:uid="{B6719FE4-150F-43B5-98FF-F218962CBB79}"/>
    <cellStyle name="Explanatory Text" xfId="17" builtinId="53" customBuiltin="1"/>
    <cellStyle name="Good" xfId="2" builtinId="26" customBuiltin="1"/>
    <cellStyle name="Heading 1" xfId="4" builtinId="16" customBuiltin="1"/>
    <cellStyle name="Heading 2" xfId="5" builtinId="17" customBuiltin="1"/>
    <cellStyle name="Heading 3" xfId="6" builtinId="18" customBuiltin="1"/>
    <cellStyle name="Heading 4" xfId="7" builtinId="19" customBuiltin="1"/>
    <cellStyle name="Input" xfId="10" builtinId="20" customBuiltin="1"/>
    <cellStyle name="Input 2" xfId="44" xr:uid="{5842D3A6-3F81-45A8-B9E5-8302E5D5D69B}"/>
    <cellStyle name="Linked Cell" xfId="13" builtinId="24" customBuiltin="1"/>
    <cellStyle name="Neutral" xfId="9" builtinId="28" customBuiltin="1"/>
    <cellStyle name="Normal" xfId="0" builtinId="0"/>
    <cellStyle name="Normal 2" xfId="45" xr:uid="{503CBABB-EFE8-4211-A935-3CCE7C3FAB28}"/>
    <cellStyle name="Normal 3" xfId="46" xr:uid="{EC126458-187A-4434-AFC2-D2669696F225}"/>
    <cellStyle name="Normal 3 2" xfId="47" xr:uid="{B1E6E949-F208-4BAF-B059-50A21E371980}"/>
    <cellStyle name="Note" xfId="16" builtinId="10" customBuiltin="1"/>
    <cellStyle name="Output" xfId="11" builtinId="21" customBuiltin="1"/>
    <cellStyle name="Percent" xfId="1" builtinId="5"/>
    <cellStyle name="Percent 2" xfId="48" xr:uid="{AEA5FAED-7F64-4C15-A6F1-7A90BBC6953B}"/>
    <cellStyle name="Title" xfId="3" builtinId="15" customBuiltin="1"/>
    <cellStyle name="Total" xfId="18" builtinId="25" customBuiltin="1"/>
    <cellStyle name="Warning Text" xfId="15" builtinId="11" customBuiltin="1"/>
  </cellStyles>
  <dxfs count="69">
    <dxf>
      <font>
        <color rgb="FF006100"/>
      </font>
      <fill>
        <patternFill>
          <bgColor rgb="FFC6EFCE"/>
        </patternFill>
      </fill>
    </dxf>
    <dxf>
      <font>
        <color theme="1"/>
      </font>
      <fill>
        <patternFill>
          <bgColor theme="0" tint="-4.9989318521683403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ill>
        <patternFill>
          <bgColor theme="0"/>
        </patternFill>
      </fill>
    </dxf>
    <dxf>
      <font>
        <color theme="1"/>
      </font>
    </dxf>
    <dxf>
      <font>
        <color theme="1"/>
      </font>
      <fill>
        <patternFill patternType="solid">
          <bgColor theme="0"/>
        </patternFill>
      </fill>
    </dxf>
    <dxf>
      <font>
        <color rgb="FF006100"/>
      </font>
      <fill>
        <patternFill>
          <bgColor rgb="FFC6EFCE"/>
        </patternFill>
      </fill>
    </dxf>
    <dxf>
      <font>
        <color rgb="FF006100"/>
      </font>
      <fill>
        <patternFill>
          <bgColor rgb="FFC6EFCE"/>
        </patternFill>
      </fill>
    </dxf>
    <dxf>
      <font>
        <color theme="1"/>
      </font>
      <fill>
        <patternFill>
          <bgColor theme="0" tint="-4.9989318521683403E-2"/>
        </patternFill>
      </fill>
    </dxf>
    <dxf>
      <font>
        <color theme="1"/>
      </font>
      <fill>
        <patternFill patternType="none">
          <bgColor auto="1"/>
        </patternFill>
      </fill>
    </dxf>
    <dxf>
      <font>
        <color rgb="FF006100"/>
      </font>
      <fill>
        <patternFill>
          <bgColor rgb="FFC6EFCE"/>
        </patternFill>
      </fill>
    </dxf>
    <dxf>
      <font>
        <color theme="1"/>
      </font>
      <fill>
        <patternFill patternType="none">
          <bgColor auto="1"/>
        </patternFill>
      </fill>
    </dxf>
    <dxf>
      <font>
        <color rgb="FF006100"/>
      </font>
      <fill>
        <patternFill>
          <bgColor rgb="FFC6EFCE"/>
        </patternFill>
      </fill>
    </dxf>
    <dxf>
      <font>
        <color rgb="FF006100"/>
      </font>
      <fill>
        <patternFill>
          <bgColor rgb="FFC6EFCE"/>
        </patternFill>
      </fill>
    </dxf>
    <dxf>
      <font>
        <color theme="1"/>
      </font>
      <fill>
        <patternFill patternType="none">
          <bgColor auto="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1"/>
      </font>
      <fill>
        <patternFill>
          <bgColor theme="0"/>
        </patternFill>
      </fill>
    </dxf>
    <dxf>
      <font>
        <color theme="1"/>
      </font>
      <fill>
        <patternFill patternType="none">
          <bgColor auto="1"/>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1"/>
      </font>
      <fill>
        <patternFill>
          <bgColor theme="0" tint="-4.9989318521683403E-2"/>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theme="1"/>
      </font>
      <fill>
        <patternFill patternType="none">
          <bgColor auto="1"/>
        </patternFill>
      </fill>
    </dxf>
    <dxf>
      <font>
        <color theme="1"/>
      </font>
      <fill>
        <patternFill>
          <bgColor theme="0"/>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externalLink" Target="externalLinks/externalLink9.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7.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2.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externalLink" Target="externalLinks/externalLink10.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0" i="0" u="none" strike="noStrike" kern="1200" cap="none" spc="0" normalizeH="0" baseline="0">
                <a:ln w="0"/>
                <a:solidFill>
                  <a:schemeClr val="tx1"/>
                </a:solidFill>
                <a:effectLst>
                  <a:outerShdw blurRad="38100" dist="19050" dir="2700000" algn="tl" rotWithShape="0">
                    <a:schemeClr val="dk1">
                      <a:alpha val="40000"/>
                    </a:schemeClr>
                  </a:outerShdw>
                </a:effectLst>
                <a:latin typeface="+mj-lt"/>
                <a:ea typeface="+mj-ea"/>
                <a:cs typeface="+mj-cs"/>
              </a:defRPr>
            </a:pPr>
            <a:r>
              <a:rPr lang="en-US" b="0" cap="none" spc="0">
                <a:ln w="0"/>
                <a:solidFill>
                  <a:schemeClr val="tx1"/>
                </a:solidFill>
                <a:effectLst>
                  <a:outerShdw blurRad="38100" dist="19050" dir="2700000" algn="tl" rotWithShape="0">
                    <a:schemeClr val="dk1">
                      <a:alpha val="40000"/>
                    </a:schemeClr>
                  </a:outerShdw>
                </a:effectLst>
              </a:rPr>
              <a:t>Journal Entries</a:t>
            </a:r>
          </a:p>
        </c:rich>
      </c:tx>
      <c:overlay val="0"/>
      <c:spPr>
        <a:noFill/>
        <a:ln>
          <a:noFill/>
        </a:ln>
        <a:effectLst/>
      </c:spPr>
      <c:txPr>
        <a:bodyPr rot="0" spcFirstLastPara="1" vertOverflow="ellipsis" vert="horz" wrap="square" anchor="ctr" anchorCtr="1"/>
        <a:lstStyle/>
        <a:p>
          <a:pPr>
            <a:defRPr sz="1600" b="0" i="0" u="none" strike="noStrike" kern="1200" cap="none" spc="0" normalizeH="0" baseline="0">
              <a:ln w="0"/>
              <a:solidFill>
                <a:schemeClr val="tx1"/>
              </a:solidFill>
              <a:effectLst>
                <a:outerShdw blurRad="38100" dist="19050" dir="2700000" algn="tl" rotWithShape="0">
                  <a:schemeClr val="dk1">
                    <a:alpha val="40000"/>
                  </a:schemeClr>
                </a:outerShdw>
              </a:effectLst>
              <a:latin typeface="+mj-lt"/>
              <a:ea typeface="+mj-ea"/>
              <a:cs typeface="+mj-cs"/>
            </a:defRPr>
          </a:pPr>
          <a:endParaRPr lang="en-US"/>
        </a:p>
      </c:txPr>
    </c:title>
    <c:autoTitleDeleted val="0"/>
    <c:plotArea>
      <c:layout/>
      <c:barChart>
        <c:barDir val="col"/>
        <c:grouping val="clustered"/>
        <c:varyColors val="0"/>
        <c:ser>
          <c:idx val="0"/>
          <c:order val="0"/>
          <c:tx>
            <c:strRef>
              <c:f>' GA Trend'!$C$1</c:f>
              <c:strCache>
                <c:ptCount val="1"/>
                <c:pt idx="0">
                  <c:v>Retail &amp; FA</c:v>
                </c:pt>
              </c:strCache>
            </c:strRef>
          </c:tx>
          <c:spPr>
            <a:solidFill>
              <a:schemeClr val="accent1">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 GA Trend'!$B$3:$B$8</c:f>
              <c:numCache>
                <c:formatCode>d\-mmm</c:formatCode>
                <c:ptCount val="6"/>
                <c:pt idx="0">
                  <c:v>45527</c:v>
                </c:pt>
                <c:pt idx="1">
                  <c:v>45558</c:v>
                </c:pt>
                <c:pt idx="2">
                  <c:v>45588</c:v>
                </c:pt>
                <c:pt idx="3">
                  <c:v>45619</c:v>
                </c:pt>
                <c:pt idx="4">
                  <c:v>45649</c:v>
                </c:pt>
                <c:pt idx="5">
                  <c:v>45315</c:v>
                </c:pt>
              </c:numCache>
            </c:numRef>
          </c:cat>
          <c:val>
            <c:numRef>
              <c:f>' GA Trend'!$C$3:$C$8</c:f>
              <c:numCache>
                <c:formatCode>General</c:formatCode>
                <c:ptCount val="6"/>
                <c:pt idx="0">
                  <c:v>53</c:v>
                </c:pt>
                <c:pt idx="1">
                  <c:v>53</c:v>
                </c:pt>
                <c:pt idx="2">
                  <c:v>69</c:v>
                </c:pt>
                <c:pt idx="3">
                  <c:v>69</c:v>
                </c:pt>
                <c:pt idx="4">
                  <c:v>69</c:v>
                </c:pt>
                <c:pt idx="5">
                  <c:v>69</c:v>
                </c:pt>
              </c:numCache>
            </c:numRef>
          </c:val>
          <c:extLst>
            <c:ext xmlns:c16="http://schemas.microsoft.com/office/drawing/2014/chart" uri="{C3380CC4-5D6E-409C-BE32-E72D297353CC}">
              <c16:uniqueId val="{00000000-C7DB-45CA-9452-2792CAA6E33D}"/>
            </c:ext>
          </c:extLst>
        </c:ser>
        <c:ser>
          <c:idx val="1"/>
          <c:order val="1"/>
          <c:tx>
            <c:strRef>
              <c:f>' GA Trend'!$D$1</c:f>
              <c:strCache>
                <c:ptCount val="1"/>
                <c:pt idx="0">
                  <c:v>Loan Accounting</c:v>
                </c:pt>
              </c:strCache>
            </c:strRef>
          </c:tx>
          <c:spPr>
            <a:solidFill>
              <a:schemeClr val="accent2">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 GA Trend'!$B$3:$B$8</c:f>
              <c:numCache>
                <c:formatCode>d\-mmm</c:formatCode>
                <c:ptCount val="6"/>
                <c:pt idx="0">
                  <c:v>45527</c:v>
                </c:pt>
                <c:pt idx="1">
                  <c:v>45558</c:v>
                </c:pt>
                <c:pt idx="2">
                  <c:v>45588</c:v>
                </c:pt>
                <c:pt idx="3">
                  <c:v>45619</c:v>
                </c:pt>
                <c:pt idx="4">
                  <c:v>45649</c:v>
                </c:pt>
                <c:pt idx="5">
                  <c:v>45315</c:v>
                </c:pt>
              </c:numCache>
            </c:numRef>
          </c:cat>
          <c:val>
            <c:numRef>
              <c:f>' GA Trend'!$D$3:$D$8</c:f>
              <c:numCache>
                <c:formatCode>General</c:formatCode>
                <c:ptCount val="6"/>
                <c:pt idx="0">
                  <c:v>29</c:v>
                </c:pt>
                <c:pt idx="1">
                  <c:v>29</c:v>
                </c:pt>
                <c:pt idx="2">
                  <c:v>29</c:v>
                </c:pt>
                <c:pt idx="3">
                  <c:v>29</c:v>
                </c:pt>
                <c:pt idx="4">
                  <c:v>29</c:v>
                </c:pt>
                <c:pt idx="5">
                  <c:v>28</c:v>
                </c:pt>
              </c:numCache>
            </c:numRef>
          </c:val>
          <c:extLst>
            <c:ext xmlns:c16="http://schemas.microsoft.com/office/drawing/2014/chart" uri="{C3380CC4-5D6E-409C-BE32-E72D297353CC}">
              <c16:uniqueId val="{00000001-C7DB-45CA-9452-2792CAA6E33D}"/>
            </c:ext>
          </c:extLst>
        </c:ser>
        <c:ser>
          <c:idx val="2"/>
          <c:order val="2"/>
          <c:tx>
            <c:strRef>
              <c:f>' GA Trend'!$E$1</c:f>
              <c:strCache>
                <c:ptCount val="1"/>
                <c:pt idx="0">
                  <c:v>Portfolio/FV &amp; FR</c:v>
                </c:pt>
              </c:strCache>
            </c:strRef>
          </c:tx>
          <c:spPr>
            <a:solidFill>
              <a:schemeClr val="accent3">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 GA Trend'!$B$3:$B$8</c:f>
              <c:numCache>
                <c:formatCode>d\-mmm</c:formatCode>
                <c:ptCount val="6"/>
                <c:pt idx="0">
                  <c:v>45527</c:v>
                </c:pt>
                <c:pt idx="1">
                  <c:v>45558</c:v>
                </c:pt>
                <c:pt idx="2">
                  <c:v>45588</c:v>
                </c:pt>
                <c:pt idx="3">
                  <c:v>45619</c:v>
                </c:pt>
                <c:pt idx="4">
                  <c:v>45649</c:v>
                </c:pt>
                <c:pt idx="5">
                  <c:v>45315</c:v>
                </c:pt>
              </c:numCache>
            </c:numRef>
          </c:cat>
          <c:val>
            <c:numRef>
              <c:f>' GA Trend'!$E$3:$E$8</c:f>
              <c:numCache>
                <c:formatCode>General</c:formatCode>
                <c:ptCount val="6"/>
                <c:pt idx="0">
                  <c:v>23</c:v>
                </c:pt>
                <c:pt idx="1">
                  <c:v>41</c:v>
                </c:pt>
                <c:pt idx="2">
                  <c:v>41</c:v>
                </c:pt>
                <c:pt idx="3">
                  <c:v>46</c:v>
                </c:pt>
                <c:pt idx="4">
                  <c:v>51</c:v>
                </c:pt>
                <c:pt idx="5">
                  <c:v>51</c:v>
                </c:pt>
              </c:numCache>
            </c:numRef>
          </c:val>
          <c:extLst>
            <c:ext xmlns:c16="http://schemas.microsoft.com/office/drawing/2014/chart" uri="{C3380CC4-5D6E-409C-BE32-E72D297353CC}">
              <c16:uniqueId val="{00000002-C7DB-45CA-9452-2792CAA6E33D}"/>
            </c:ext>
          </c:extLst>
        </c:ser>
        <c:ser>
          <c:idx val="3"/>
          <c:order val="3"/>
          <c:tx>
            <c:strRef>
              <c:f>' GA Trend'!$F$1</c:f>
              <c:strCache>
                <c:ptCount val="1"/>
                <c:pt idx="0">
                  <c:v>SilverRock</c:v>
                </c:pt>
              </c:strCache>
            </c:strRef>
          </c:tx>
          <c:spPr>
            <a:solidFill>
              <a:schemeClr val="accent4">
                <a:alpha val="7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numRef>
              <c:f>' GA Trend'!$B$3:$B$8</c:f>
              <c:numCache>
                <c:formatCode>d\-mmm</c:formatCode>
                <c:ptCount val="6"/>
                <c:pt idx="0">
                  <c:v>45527</c:v>
                </c:pt>
                <c:pt idx="1">
                  <c:v>45558</c:v>
                </c:pt>
                <c:pt idx="2">
                  <c:v>45588</c:v>
                </c:pt>
                <c:pt idx="3">
                  <c:v>45619</c:v>
                </c:pt>
                <c:pt idx="4">
                  <c:v>45649</c:v>
                </c:pt>
                <c:pt idx="5">
                  <c:v>45315</c:v>
                </c:pt>
              </c:numCache>
            </c:numRef>
          </c:cat>
          <c:val>
            <c:numRef>
              <c:f>' GA Trend'!$F$3:$F$8</c:f>
              <c:numCache>
                <c:formatCode>General</c:formatCode>
                <c:ptCount val="6"/>
                <c:pt idx="0">
                  <c:v>0</c:v>
                </c:pt>
                <c:pt idx="1">
                  <c:v>0</c:v>
                </c:pt>
                <c:pt idx="2">
                  <c:v>0</c:v>
                </c:pt>
                <c:pt idx="3">
                  <c:v>3</c:v>
                </c:pt>
                <c:pt idx="4">
                  <c:v>3</c:v>
                </c:pt>
                <c:pt idx="5">
                  <c:v>4</c:v>
                </c:pt>
              </c:numCache>
            </c:numRef>
          </c:val>
          <c:extLst>
            <c:ext xmlns:c16="http://schemas.microsoft.com/office/drawing/2014/chart" uri="{C3380CC4-5D6E-409C-BE32-E72D297353CC}">
              <c16:uniqueId val="{00000003-C7DB-45CA-9452-2792CAA6E33D}"/>
            </c:ext>
          </c:extLst>
        </c:ser>
        <c:dLbls>
          <c:showLegendKey val="0"/>
          <c:showVal val="0"/>
          <c:showCatName val="0"/>
          <c:showSerName val="0"/>
          <c:showPercent val="0"/>
          <c:showBubbleSize val="0"/>
        </c:dLbls>
        <c:gapWidth val="80"/>
        <c:overlap val="25"/>
        <c:axId val="615508176"/>
        <c:axId val="780481199"/>
      </c:barChart>
      <c:dateAx>
        <c:axId val="615508176"/>
        <c:scaling>
          <c:orientation val="minMax"/>
        </c:scaling>
        <c:delete val="0"/>
        <c:axPos val="b"/>
        <c:numFmt formatCode="d\-mmm" sourceLinked="1"/>
        <c:majorTickMark val="out"/>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cap="none" spc="20" normalizeH="0" baseline="0">
                <a:solidFill>
                  <a:schemeClr val="tx1"/>
                </a:solidFill>
                <a:latin typeface="+mn-lt"/>
                <a:ea typeface="+mn-ea"/>
                <a:cs typeface="+mn-cs"/>
              </a:defRPr>
            </a:pPr>
            <a:endParaRPr lang="en-US"/>
          </a:p>
        </c:txPr>
        <c:crossAx val="780481199"/>
        <c:crosses val="autoZero"/>
        <c:auto val="1"/>
        <c:lblOffset val="100"/>
        <c:baseTimeUnit val="months"/>
      </c:dateAx>
      <c:valAx>
        <c:axId val="780481199"/>
        <c:scaling>
          <c:orientation val="minMax"/>
        </c:scaling>
        <c:delete val="0"/>
        <c:axPos val="l"/>
        <c:majorGridlines>
          <c:spPr>
            <a:ln w="9525" cap="flat" cmpd="sng" algn="ctr">
              <a:solidFill>
                <a:schemeClr val="tx1">
                  <a:lumMod val="5000"/>
                  <a:lumOff val="95000"/>
                </a:schemeClr>
              </a:solidFill>
              <a:round/>
            </a:ln>
            <a:effectLst/>
          </c:spPr>
        </c:majorGridlines>
        <c:numFmt formatCode="General" sourceLinked="1"/>
        <c:majorTickMark val="none"/>
        <c:minorTickMark val="none"/>
        <c:tickLblPos val="nextTo"/>
        <c:spPr>
          <a:noFill/>
          <a:ln w="6350" cap="flat" cmpd="sng" algn="ctr">
            <a:solidFill>
              <a:schemeClr val="dk1"/>
            </a:solidFill>
            <a:prstDash val="solid"/>
            <a:miter lim="800000"/>
          </a:ln>
          <a:effectLst/>
        </c:spPr>
        <c:txPr>
          <a:bodyPr rot="-60000000" spcFirstLastPara="1" vertOverflow="ellipsis" vert="horz" wrap="square" anchor="ctr" anchorCtr="1"/>
          <a:lstStyle/>
          <a:p>
            <a:pPr>
              <a:defRPr sz="900" b="0" i="0" u="none" strike="noStrike" kern="1200" spc="20" baseline="0">
                <a:solidFill>
                  <a:schemeClr val="tx1"/>
                </a:solidFill>
                <a:latin typeface="+mn-lt"/>
                <a:ea typeface="+mn-ea"/>
                <a:cs typeface="+mn-cs"/>
              </a:defRPr>
            </a:pPr>
            <a:endParaRPr lang="en-US"/>
          </a:p>
        </c:txPr>
        <c:crossAx val="615508176"/>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solidFill>
                <a:latin typeface="+mn-lt"/>
                <a:ea typeface="+mn-ea"/>
                <a:cs typeface="+mn-cs"/>
              </a:defRPr>
            </a:pPr>
            <a:r>
              <a:rPr lang="en-US"/>
              <a:t>Reporting</a:t>
            </a:r>
          </a:p>
        </c:rich>
      </c:tx>
      <c:overlay val="0"/>
      <c:spPr>
        <a:noFill/>
        <a:ln>
          <a:noFill/>
        </a:ln>
        <a:effectLst/>
      </c:spPr>
      <c:txPr>
        <a:bodyPr rot="0" spcFirstLastPara="1" vertOverflow="ellipsis" vert="horz" wrap="square" anchor="ctr" anchorCtr="1"/>
        <a:lstStyle/>
        <a:p>
          <a:pPr>
            <a:defRPr sz="1400" b="0" i="0" u="none" strike="noStrike" kern="1200" cap="none" spc="2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 GA Trend'!$C$13</c:f>
              <c:strCache>
                <c:ptCount val="1"/>
                <c:pt idx="0">
                  <c:v>68</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GA Trend'!$B$15:$B$20</c:f>
              <c:strCache>
                <c:ptCount val="6"/>
                <c:pt idx="0">
                  <c:v>Month End Closing</c:v>
                </c:pt>
                <c:pt idx="1">
                  <c:v>23-Jul</c:v>
                </c:pt>
                <c:pt idx="2">
                  <c:v>23-Aug</c:v>
                </c:pt>
                <c:pt idx="3">
                  <c:v>23-Sep</c:v>
                </c:pt>
                <c:pt idx="4">
                  <c:v>23-Oct</c:v>
                </c:pt>
                <c:pt idx="5">
                  <c:v>23-Nov</c:v>
                </c:pt>
              </c:strCache>
            </c:strRef>
          </c:cat>
          <c:val>
            <c:numRef>
              <c:f>' GA Trend'!$C$15:$C$20</c:f>
              <c:numCache>
                <c:formatCode>General</c:formatCode>
                <c:ptCount val="6"/>
                <c:pt idx="0">
                  <c:v>0</c:v>
                </c:pt>
                <c:pt idx="1">
                  <c:v>16</c:v>
                </c:pt>
                <c:pt idx="2">
                  <c:v>16</c:v>
                </c:pt>
                <c:pt idx="3">
                  <c:v>16</c:v>
                </c:pt>
                <c:pt idx="4">
                  <c:v>16</c:v>
                </c:pt>
                <c:pt idx="5">
                  <c:v>16</c:v>
                </c:pt>
              </c:numCache>
            </c:numRef>
          </c:val>
          <c:extLst>
            <c:ext xmlns:c16="http://schemas.microsoft.com/office/drawing/2014/chart" uri="{C3380CC4-5D6E-409C-BE32-E72D297353CC}">
              <c16:uniqueId val="{00000000-07F8-4133-9A2B-533E98C1F620}"/>
            </c:ext>
          </c:extLst>
        </c:ser>
        <c:ser>
          <c:idx val="1"/>
          <c:order val="1"/>
          <c:tx>
            <c:strRef>
              <c:f>' GA Trend'!$D$13:$D$13</c:f>
              <c:strCache>
                <c:ptCount val="1"/>
                <c:pt idx="0">
                  <c:v>26</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GA Trend'!$B$15:$B$20</c:f>
              <c:strCache>
                <c:ptCount val="6"/>
                <c:pt idx="0">
                  <c:v>Month End Closing</c:v>
                </c:pt>
                <c:pt idx="1">
                  <c:v>23-Jul</c:v>
                </c:pt>
                <c:pt idx="2">
                  <c:v>23-Aug</c:v>
                </c:pt>
                <c:pt idx="3">
                  <c:v>23-Sep</c:v>
                </c:pt>
                <c:pt idx="4">
                  <c:v>23-Oct</c:v>
                </c:pt>
                <c:pt idx="5">
                  <c:v>23-Nov</c:v>
                </c:pt>
              </c:strCache>
            </c:strRef>
          </c:cat>
          <c:val>
            <c:numRef>
              <c:f>' GA Trend'!$D$14:$D$19</c:f>
              <c:numCache>
                <c:formatCode>General</c:formatCode>
                <c:ptCount val="6"/>
                <c:pt idx="1">
                  <c:v>0</c:v>
                </c:pt>
                <c:pt idx="2">
                  <c:v>0</c:v>
                </c:pt>
                <c:pt idx="3">
                  <c:v>0</c:v>
                </c:pt>
                <c:pt idx="4">
                  <c:v>0</c:v>
                </c:pt>
                <c:pt idx="5">
                  <c:v>0</c:v>
                </c:pt>
              </c:numCache>
            </c:numRef>
          </c:val>
          <c:extLst>
            <c:ext xmlns:c16="http://schemas.microsoft.com/office/drawing/2014/chart" uri="{C3380CC4-5D6E-409C-BE32-E72D297353CC}">
              <c16:uniqueId val="{00000001-07F8-4133-9A2B-533E98C1F620}"/>
            </c:ext>
          </c:extLst>
        </c:ser>
        <c:ser>
          <c:idx val="2"/>
          <c:order val="2"/>
          <c:tx>
            <c:strRef>
              <c:f>' GA Trend'!$E$13</c:f>
              <c:strCache>
                <c:ptCount val="1"/>
                <c:pt idx="0">
                  <c:v>62</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GA Trend'!$B$15:$B$20</c:f>
              <c:strCache>
                <c:ptCount val="6"/>
                <c:pt idx="0">
                  <c:v>Month End Closing</c:v>
                </c:pt>
                <c:pt idx="1">
                  <c:v>23-Jul</c:v>
                </c:pt>
                <c:pt idx="2">
                  <c:v>23-Aug</c:v>
                </c:pt>
                <c:pt idx="3">
                  <c:v>23-Sep</c:v>
                </c:pt>
                <c:pt idx="4">
                  <c:v>23-Oct</c:v>
                </c:pt>
                <c:pt idx="5">
                  <c:v>23-Nov</c:v>
                </c:pt>
              </c:strCache>
            </c:strRef>
          </c:cat>
          <c:val>
            <c:numRef>
              <c:f>' GA Trend'!$E$15:$E$20</c:f>
              <c:numCache>
                <c:formatCode>General</c:formatCode>
                <c:ptCount val="6"/>
                <c:pt idx="0">
                  <c:v>0</c:v>
                </c:pt>
                <c:pt idx="1">
                  <c:v>3</c:v>
                </c:pt>
                <c:pt idx="2">
                  <c:v>3</c:v>
                </c:pt>
                <c:pt idx="3">
                  <c:v>16</c:v>
                </c:pt>
                <c:pt idx="4">
                  <c:v>3</c:v>
                </c:pt>
                <c:pt idx="5">
                  <c:v>3</c:v>
                </c:pt>
              </c:numCache>
            </c:numRef>
          </c:val>
          <c:extLst>
            <c:ext xmlns:c16="http://schemas.microsoft.com/office/drawing/2014/chart" uri="{C3380CC4-5D6E-409C-BE32-E72D297353CC}">
              <c16:uniqueId val="{00000002-07F8-4133-9A2B-533E98C1F620}"/>
            </c:ext>
          </c:extLst>
        </c:ser>
        <c:ser>
          <c:idx val="3"/>
          <c:order val="3"/>
          <c:tx>
            <c:strRef>
              <c:f>' GA Trend'!$F$13</c:f>
              <c:strCache>
                <c:ptCount val="1"/>
                <c:pt idx="0">
                  <c:v>7</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GA Trend'!$B$15:$B$20</c:f>
              <c:strCache>
                <c:ptCount val="6"/>
                <c:pt idx="0">
                  <c:v>Month End Closing</c:v>
                </c:pt>
                <c:pt idx="1">
                  <c:v>23-Jul</c:v>
                </c:pt>
                <c:pt idx="2">
                  <c:v>23-Aug</c:v>
                </c:pt>
                <c:pt idx="3">
                  <c:v>23-Sep</c:v>
                </c:pt>
                <c:pt idx="4">
                  <c:v>23-Oct</c:v>
                </c:pt>
                <c:pt idx="5">
                  <c:v>23-Nov</c:v>
                </c:pt>
              </c:strCache>
            </c:strRef>
          </c:cat>
          <c:val>
            <c:numRef>
              <c:f>' GA Trend'!$F$15:$F$20</c:f>
              <c:numCache>
                <c:formatCode>General</c:formatCode>
                <c:ptCount val="6"/>
                <c:pt idx="0">
                  <c:v>0</c:v>
                </c:pt>
                <c:pt idx="1">
                  <c:v>0</c:v>
                </c:pt>
                <c:pt idx="2">
                  <c:v>0</c:v>
                </c:pt>
                <c:pt idx="3">
                  <c:v>0</c:v>
                </c:pt>
                <c:pt idx="4">
                  <c:v>0</c:v>
                </c:pt>
                <c:pt idx="5">
                  <c:v>4</c:v>
                </c:pt>
              </c:numCache>
            </c:numRef>
          </c:val>
          <c:extLst>
            <c:ext xmlns:c16="http://schemas.microsoft.com/office/drawing/2014/chart" uri="{C3380CC4-5D6E-409C-BE32-E72D297353CC}">
              <c16:uniqueId val="{00000003-07F8-4133-9A2B-533E98C1F620}"/>
            </c:ext>
          </c:extLst>
        </c:ser>
        <c:dLbls>
          <c:showLegendKey val="0"/>
          <c:showVal val="0"/>
          <c:showCatName val="0"/>
          <c:showSerName val="0"/>
          <c:showPercent val="0"/>
          <c:showBubbleSize val="0"/>
        </c:dLbls>
        <c:gapWidth val="100"/>
        <c:overlap val="-24"/>
        <c:axId val="680193696"/>
        <c:axId val="780269903"/>
      </c:barChart>
      <c:catAx>
        <c:axId val="680193696"/>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80269903"/>
        <c:crosses val="autoZero"/>
        <c:auto val="1"/>
        <c:lblAlgn val="ctr"/>
        <c:lblOffset val="100"/>
        <c:noMultiLvlLbl val="1"/>
      </c:catAx>
      <c:valAx>
        <c:axId val="78026990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80193696"/>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cap="none" spc="20" baseline="0">
                <a:solidFill>
                  <a:schemeClr val="dk1"/>
                </a:solidFill>
                <a:latin typeface="+mn-lt"/>
                <a:ea typeface="+mn-ea"/>
                <a:cs typeface="+mn-cs"/>
              </a:defRPr>
            </a:pPr>
            <a:r>
              <a:rPr lang="en-US"/>
              <a:t>Reconciliation</a:t>
            </a:r>
          </a:p>
        </c:rich>
      </c:tx>
      <c:overlay val="0"/>
      <c:spPr>
        <a:solidFill>
          <a:schemeClr val="lt1"/>
        </a:solidFill>
        <a:ln w="12700" cap="flat" cmpd="sng" algn="ctr">
          <a:solidFill>
            <a:schemeClr val="dk1"/>
          </a:solidFill>
          <a:prstDash val="solid"/>
          <a:miter lim="800000"/>
        </a:ln>
        <a:effectLst/>
      </c:spPr>
      <c:txPr>
        <a:bodyPr rot="0" spcFirstLastPara="1" vertOverflow="ellipsis" vert="horz" wrap="square" anchor="ctr" anchorCtr="1"/>
        <a:lstStyle/>
        <a:p>
          <a:pPr>
            <a:defRPr sz="1400" b="0" i="0" u="none" strike="noStrike" kern="1200" cap="none" spc="20" baseline="0">
              <a:solidFill>
                <a:schemeClr val="dk1"/>
              </a:solidFill>
              <a:latin typeface="+mn-lt"/>
              <a:ea typeface="+mn-ea"/>
              <a:cs typeface="+mn-cs"/>
            </a:defRPr>
          </a:pPr>
          <a:endParaRPr lang="en-US"/>
        </a:p>
      </c:txPr>
    </c:title>
    <c:autoTitleDeleted val="0"/>
    <c:plotArea>
      <c:layout/>
      <c:barChart>
        <c:barDir val="col"/>
        <c:grouping val="clustered"/>
        <c:varyColors val="0"/>
        <c:ser>
          <c:idx val="0"/>
          <c:order val="0"/>
          <c:tx>
            <c:strRef>
              <c:f>' GA Trend'!$C$25</c:f>
              <c:strCache>
                <c:ptCount val="1"/>
                <c:pt idx="0">
                  <c:v>15</c:v>
                </c:pt>
              </c:strCache>
            </c:strRef>
          </c:tx>
          <c:spPr>
            <a:gradFill rotWithShape="1">
              <a:gsLst>
                <a:gs pos="0">
                  <a:schemeClr val="accent1">
                    <a:lumMod val="110000"/>
                    <a:satMod val="105000"/>
                    <a:tint val="67000"/>
                  </a:schemeClr>
                </a:gs>
                <a:gs pos="50000">
                  <a:schemeClr val="accent1">
                    <a:lumMod val="105000"/>
                    <a:satMod val="103000"/>
                    <a:tint val="73000"/>
                  </a:schemeClr>
                </a:gs>
                <a:gs pos="100000">
                  <a:schemeClr val="accent1">
                    <a:lumMod val="105000"/>
                    <a:satMod val="109000"/>
                    <a:tint val="81000"/>
                  </a:schemeClr>
                </a:gs>
              </a:gsLst>
              <a:lin ang="5400000" scaled="0"/>
            </a:gradFill>
            <a:ln w="9525" cap="flat" cmpd="sng" algn="ctr">
              <a:solidFill>
                <a:schemeClr val="accent1">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GA Trend'!$B$27:$B$32</c:f>
              <c:strCache>
                <c:ptCount val="6"/>
                <c:pt idx="0">
                  <c:v>24-Jun</c:v>
                </c:pt>
                <c:pt idx="2">
                  <c:v>Month End Closing</c:v>
                </c:pt>
                <c:pt idx="3">
                  <c:v>23-Jul</c:v>
                </c:pt>
                <c:pt idx="4">
                  <c:v>23-Aug</c:v>
                </c:pt>
                <c:pt idx="5">
                  <c:v>23-Sep</c:v>
                </c:pt>
              </c:strCache>
            </c:strRef>
          </c:cat>
          <c:val>
            <c:numRef>
              <c:f>' GA Trend'!$C$27:$C$32</c:f>
              <c:numCache>
                <c:formatCode>General</c:formatCode>
                <c:ptCount val="6"/>
                <c:pt idx="0">
                  <c:v>21</c:v>
                </c:pt>
                <c:pt idx="2">
                  <c:v>0</c:v>
                </c:pt>
                <c:pt idx="3">
                  <c:v>2</c:v>
                </c:pt>
                <c:pt idx="4">
                  <c:v>2</c:v>
                </c:pt>
                <c:pt idx="5">
                  <c:v>2</c:v>
                </c:pt>
              </c:numCache>
            </c:numRef>
          </c:val>
          <c:extLst>
            <c:ext xmlns:c16="http://schemas.microsoft.com/office/drawing/2014/chart" uri="{C3380CC4-5D6E-409C-BE32-E72D297353CC}">
              <c16:uniqueId val="{00000000-95B0-40E6-BB31-84A7AD5A45B6}"/>
            </c:ext>
          </c:extLst>
        </c:ser>
        <c:ser>
          <c:idx val="1"/>
          <c:order val="1"/>
          <c:tx>
            <c:strRef>
              <c:f>' GA Trend'!$D$25</c:f>
              <c:strCache>
                <c:ptCount val="1"/>
                <c:pt idx="0">
                  <c:v>0</c:v>
                </c:pt>
              </c:strCache>
            </c:strRef>
          </c:tx>
          <c:spPr>
            <a:gradFill rotWithShape="1">
              <a:gsLst>
                <a:gs pos="0">
                  <a:schemeClr val="accent2">
                    <a:lumMod val="110000"/>
                    <a:satMod val="105000"/>
                    <a:tint val="67000"/>
                  </a:schemeClr>
                </a:gs>
                <a:gs pos="50000">
                  <a:schemeClr val="accent2">
                    <a:lumMod val="105000"/>
                    <a:satMod val="103000"/>
                    <a:tint val="73000"/>
                  </a:schemeClr>
                </a:gs>
                <a:gs pos="100000">
                  <a:schemeClr val="accent2">
                    <a:lumMod val="105000"/>
                    <a:satMod val="109000"/>
                    <a:tint val="81000"/>
                  </a:schemeClr>
                </a:gs>
              </a:gsLst>
              <a:lin ang="5400000" scaled="0"/>
            </a:gradFill>
            <a:ln w="9525" cap="flat" cmpd="sng" algn="ctr">
              <a:solidFill>
                <a:schemeClr val="accent2">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GA Trend'!$B$27:$B$32</c:f>
              <c:strCache>
                <c:ptCount val="6"/>
                <c:pt idx="0">
                  <c:v>24-Jun</c:v>
                </c:pt>
                <c:pt idx="2">
                  <c:v>Month End Closing</c:v>
                </c:pt>
                <c:pt idx="3">
                  <c:v>23-Jul</c:v>
                </c:pt>
                <c:pt idx="4">
                  <c:v>23-Aug</c:v>
                </c:pt>
                <c:pt idx="5">
                  <c:v>23-Sep</c:v>
                </c:pt>
              </c:strCache>
            </c:strRef>
          </c:cat>
          <c:val>
            <c:numRef>
              <c:f>' GA Trend'!$D$27:$D$32</c:f>
              <c:numCache>
                <c:formatCode>General</c:formatCode>
                <c:ptCount val="6"/>
                <c:pt idx="0">
                  <c:v>0</c:v>
                </c:pt>
                <c:pt idx="2">
                  <c:v>0</c:v>
                </c:pt>
                <c:pt idx="3">
                  <c:v>31</c:v>
                </c:pt>
                <c:pt idx="4">
                  <c:v>31</c:v>
                </c:pt>
                <c:pt idx="5">
                  <c:v>31</c:v>
                </c:pt>
              </c:numCache>
            </c:numRef>
          </c:val>
          <c:extLst>
            <c:ext xmlns:c16="http://schemas.microsoft.com/office/drawing/2014/chart" uri="{C3380CC4-5D6E-409C-BE32-E72D297353CC}">
              <c16:uniqueId val="{00000001-95B0-40E6-BB31-84A7AD5A45B6}"/>
            </c:ext>
          </c:extLst>
        </c:ser>
        <c:ser>
          <c:idx val="2"/>
          <c:order val="2"/>
          <c:tx>
            <c:strRef>
              <c:f>' GA Trend'!$E$25</c:f>
              <c:strCache>
                <c:ptCount val="1"/>
                <c:pt idx="0">
                  <c:v>3</c:v>
                </c:pt>
              </c:strCache>
            </c:strRef>
          </c:tx>
          <c:spPr>
            <a:gradFill rotWithShape="1">
              <a:gsLst>
                <a:gs pos="0">
                  <a:schemeClr val="accent3">
                    <a:lumMod val="110000"/>
                    <a:satMod val="105000"/>
                    <a:tint val="67000"/>
                  </a:schemeClr>
                </a:gs>
                <a:gs pos="50000">
                  <a:schemeClr val="accent3">
                    <a:lumMod val="105000"/>
                    <a:satMod val="103000"/>
                    <a:tint val="73000"/>
                  </a:schemeClr>
                </a:gs>
                <a:gs pos="100000">
                  <a:schemeClr val="accent3">
                    <a:lumMod val="105000"/>
                    <a:satMod val="109000"/>
                    <a:tint val="81000"/>
                  </a:schemeClr>
                </a:gs>
              </a:gsLst>
              <a:lin ang="5400000" scaled="0"/>
            </a:gradFill>
            <a:ln w="9525" cap="flat" cmpd="sng" algn="ctr">
              <a:solidFill>
                <a:schemeClr val="accent3">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GA Trend'!$B$27:$B$32</c:f>
              <c:strCache>
                <c:ptCount val="6"/>
                <c:pt idx="0">
                  <c:v>24-Jun</c:v>
                </c:pt>
                <c:pt idx="2">
                  <c:v>Month End Closing</c:v>
                </c:pt>
                <c:pt idx="3">
                  <c:v>23-Jul</c:v>
                </c:pt>
                <c:pt idx="4">
                  <c:v>23-Aug</c:v>
                </c:pt>
                <c:pt idx="5">
                  <c:v>23-Sep</c:v>
                </c:pt>
              </c:strCache>
            </c:strRef>
          </c:cat>
          <c:val>
            <c:numRef>
              <c:f>' GA Trend'!$E$27:$E$32</c:f>
              <c:numCache>
                <c:formatCode>General</c:formatCode>
                <c:ptCount val="6"/>
                <c:pt idx="0">
                  <c:v>20</c:v>
                </c:pt>
                <c:pt idx="2">
                  <c:v>0</c:v>
                </c:pt>
                <c:pt idx="3">
                  <c:v>2</c:v>
                </c:pt>
                <c:pt idx="4">
                  <c:v>2</c:v>
                </c:pt>
                <c:pt idx="5">
                  <c:v>10</c:v>
                </c:pt>
              </c:numCache>
            </c:numRef>
          </c:val>
          <c:extLst>
            <c:ext xmlns:c16="http://schemas.microsoft.com/office/drawing/2014/chart" uri="{C3380CC4-5D6E-409C-BE32-E72D297353CC}">
              <c16:uniqueId val="{00000002-95B0-40E6-BB31-84A7AD5A45B6}"/>
            </c:ext>
          </c:extLst>
        </c:ser>
        <c:ser>
          <c:idx val="3"/>
          <c:order val="3"/>
          <c:tx>
            <c:strRef>
              <c:f>' GA Trend'!$F$25:$F$25</c:f>
              <c:strCache>
                <c:ptCount val="1"/>
                <c:pt idx="0">
                  <c:v>6</c:v>
                </c:pt>
              </c:strCache>
            </c:strRef>
          </c:tx>
          <c:spPr>
            <a:gradFill rotWithShape="1">
              <a:gsLst>
                <a:gs pos="0">
                  <a:schemeClr val="accent4">
                    <a:lumMod val="110000"/>
                    <a:satMod val="105000"/>
                    <a:tint val="67000"/>
                  </a:schemeClr>
                </a:gs>
                <a:gs pos="50000">
                  <a:schemeClr val="accent4">
                    <a:lumMod val="105000"/>
                    <a:satMod val="103000"/>
                    <a:tint val="73000"/>
                  </a:schemeClr>
                </a:gs>
                <a:gs pos="100000">
                  <a:schemeClr val="accent4">
                    <a:lumMod val="105000"/>
                    <a:satMod val="109000"/>
                    <a:tint val="81000"/>
                  </a:schemeClr>
                </a:gs>
              </a:gsLst>
              <a:lin ang="5400000" scaled="0"/>
            </a:gradFill>
            <a:ln w="9525" cap="flat" cmpd="sng" algn="ctr">
              <a:solidFill>
                <a:schemeClr val="accent4">
                  <a:shade val="95000"/>
                </a:schemeClr>
              </a:solidFill>
              <a:round/>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 GA Trend'!$B$27:$B$32</c:f>
              <c:strCache>
                <c:ptCount val="6"/>
                <c:pt idx="0">
                  <c:v>24-Jun</c:v>
                </c:pt>
                <c:pt idx="2">
                  <c:v>Month End Closing</c:v>
                </c:pt>
                <c:pt idx="3">
                  <c:v>23-Jul</c:v>
                </c:pt>
                <c:pt idx="4">
                  <c:v>23-Aug</c:v>
                </c:pt>
                <c:pt idx="5">
                  <c:v>23-Sep</c:v>
                </c:pt>
              </c:strCache>
            </c:strRef>
          </c:cat>
          <c:val>
            <c:numRef>
              <c:f>' GA Trend'!$F$26:$F$31</c:f>
              <c:numCache>
                <c:formatCode>General</c:formatCode>
                <c:ptCount val="6"/>
                <c:pt idx="0">
                  <c:v>6</c:v>
                </c:pt>
                <c:pt idx="1">
                  <c:v>8</c:v>
                </c:pt>
                <c:pt idx="3">
                  <c:v>0</c:v>
                </c:pt>
                <c:pt idx="4">
                  <c:v>0</c:v>
                </c:pt>
                <c:pt idx="5">
                  <c:v>0</c:v>
                </c:pt>
              </c:numCache>
            </c:numRef>
          </c:val>
          <c:extLst>
            <c:ext xmlns:c16="http://schemas.microsoft.com/office/drawing/2014/chart" uri="{C3380CC4-5D6E-409C-BE32-E72D297353CC}">
              <c16:uniqueId val="{00000003-95B0-40E6-BB31-84A7AD5A45B6}"/>
            </c:ext>
          </c:extLst>
        </c:ser>
        <c:dLbls>
          <c:showLegendKey val="0"/>
          <c:showVal val="0"/>
          <c:showCatName val="0"/>
          <c:showSerName val="0"/>
          <c:showPercent val="0"/>
          <c:showBubbleSize val="0"/>
        </c:dLbls>
        <c:gapWidth val="100"/>
        <c:overlap val="-24"/>
        <c:axId val="614649648"/>
        <c:axId val="780483183"/>
      </c:barChart>
      <c:catAx>
        <c:axId val="614649648"/>
        <c:scaling>
          <c:orientation val="minMax"/>
        </c:scaling>
        <c:delete val="0"/>
        <c:axPos val="b"/>
        <c:numFmt formatCode="General" sourceLinked="1"/>
        <c:majorTickMark val="out"/>
        <c:minorTickMark val="none"/>
        <c:tickLblPos val="nextTo"/>
        <c:spPr>
          <a:noFill/>
          <a:ln w="9525" cap="flat" cmpd="sng" algn="ctr">
            <a:solidFill>
              <a:sysClr val="windowText" lastClr="000000"/>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780483183"/>
        <c:crosses val="autoZero"/>
        <c:auto val="1"/>
        <c:lblAlgn val="ctr"/>
        <c:lblOffset val="100"/>
        <c:noMultiLvlLbl val="1"/>
      </c:catAx>
      <c:valAx>
        <c:axId val="7804831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614649648"/>
        <c:crosses val="autoZero"/>
        <c:crossBetween val="between"/>
      </c:valAx>
      <c:spPr>
        <a:noFill/>
        <a:ln>
          <a:solidFill>
            <a:sysClr val="windowText" lastClr="000000"/>
          </a:solid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legend>
    <c:plotVisOnly val="1"/>
    <c:dispBlanksAs val="gap"/>
    <c:showDLblsOverMax val="0"/>
  </c:chart>
  <c:spPr>
    <a:solidFill>
      <a:schemeClr val="lt1"/>
    </a:solidFill>
    <a:ln w="1270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Error Trend- Oct to Dec 2023</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val>
            <c:numRef>
              <c:f>'AP Charts'!#REF!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'AP 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'AP Charts'!#REF!</c15:sqref>
                        </c15:formulaRef>
                      </c:ext>
                    </c:extLst>
                  </c:multiLvlStrRef>
                </c15:cat>
              </c15:filteredCategoryTitle>
            </c:ext>
            <c:ext xmlns:c16="http://schemas.microsoft.com/office/drawing/2014/chart" uri="{C3380CC4-5D6E-409C-BE32-E72D297353CC}">
              <c16:uniqueId val="{00000000-8748-403C-8E4A-950BE3C7ECD3}"/>
            </c:ext>
          </c:extLst>
        </c:ser>
        <c:ser>
          <c:idx val="1"/>
          <c:order val="1"/>
          <c:spPr>
            <a:solidFill>
              <a:schemeClr val="accent2"/>
            </a:solidFill>
            <a:ln>
              <a:noFill/>
            </a:ln>
            <a:effectLst/>
          </c:spPr>
          <c:invertIfNegative val="0"/>
          <c:val>
            <c:numRef>
              <c:f>'AP Charts'!#REF!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'AP 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'AP Charts'!#REF!</c15:sqref>
                        </c15:formulaRef>
                      </c:ext>
                    </c:extLst>
                  </c:multiLvlStrRef>
                </c15:cat>
              </c15:filteredCategoryTitle>
            </c:ext>
            <c:ext xmlns:c16="http://schemas.microsoft.com/office/drawing/2014/chart" uri="{C3380CC4-5D6E-409C-BE32-E72D297353CC}">
              <c16:uniqueId val="{00000001-8748-403C-8E4A-950BE3C7ECD3}"/>
            </c:ext>
          </c:extLst>
        </c:ser>
        <c:ser>
          <c:idx val="2"/>
          <c:order val="2"/>
          <c:spPr>
            <a:solidFill>
              <a:schemeClr val="accent3"/>
            </a:solidFill>
            <a:ln>
              <a:noFill/>
            </a:ln>
            <a:effectLst/>
          </c:spPr>
          <c:invertIfNegative val="0"/>
          <c:val>
            <c:numRef>
              <c:f>'AP Charts'!#REF!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'AP Charts'!#REF!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'AP Charts'!#REF!</c15:sqref>
                        </c15:formulaRef>
                      </c:ext>
                    </c:extLst>
                  </c:multiLvlStrRef>
                </c15:cat>
              </c15:filteredCategoryTitle>
            </c:ext>
            <c:ext xmlns:c16="http://schemas.microsoft.com/office/drawing/2014/chart" uri="{C3380CC4-5D6E-409C-BE32-E72D297353CC}">
              <c16:uniqueId val="{00000002-8748-403C-8E4A-950BE3C7ECD3}"/>
            </c:ext>
          </c:extLst>
        </c:ser>
        <c:dLbls>
          <c:showLegendKey val="0"/>
          <c:showVal val="0"/>
          <c:showCatName val="0"/>
          <c:showSerName val="0"/>
          <c:showPercent val="0"/>
          <c:showBubbleSize val="0"/>
        </c:dLbls>
        <c:gapWidth val="219"/>
        <c:overlap val="-27"/>
        <c:axId val="404465104"/>
        <c:axId val="404466904"/>
      </c:barChart>
      <c:catAx>
        <c:axId val="404465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404466904"/>
        <c:crosses val="autoZero"/>
        <c:auto val="1"/>
        <c:lblAlgn val="ctr"/>
        <c:lblOffset val="100"/>
        <c:noMultiLvlLbl val="0"/>
      </c:catAx>
      <c:valAx>
        <c:axId val="4044669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04465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Volume</a:t>
            </a:r>
            <a:r>
              <a:rPr lang="en-US" baseline="0"/>
              <a:t> Trend Dec'23 to Feb'24</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'AP Charts'!$A$34</c:f>
              <c:strCache>
                <c:ptCount val="1"/>
                <c:pt idx="0">
                  <c:v>  Electronic Payment Posting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 Charts'!$B$33:$D$33</c:f>
              <c:strCache>
                <c:ptCount val="3"/>
                <c:pt idx="0">
                  <c:v> Feb'24 </c:v>
                </c:pt>
                <c:pt idx="1">
                  <c:v>Mar'24</c:v>
                </c:pt>
                <c:pt idx="2">
                  <c:v>Apr'24</c:v>
                </c:pt>
              </c:strCache>
            </c:strRef>
          </c:cat>
          <c:val>
            <c:numRef>
              <c:f>'AP Charts'!$B$34:$D$34</c:f>
              <c:numCache>
                <c:formatCode>General</c:formatCode>
                <c:ptCount val="3"/>
                <c:pt idx="0">
                  <c:v>609</c:v>
                </c:pt>
                <c:pt idx="1">
                  <c:v>659</c:v>
                </c:pt>
                <c:pt idx="2">
                  <c:v>622</c:v>
                </c:pt>
              </c:numCache>
            </c:numRef>
          </c:val>
          <c:extLst>
            <c:ext xmlns:c16="http://schemas.microsoft.com/office/drawing/2014/chart" uri="{C3380CC4-5D6E-409C-BE32-E72D297353CC}">
              <c16:uniqueId val="{00000000-3928-436B-9123-7B719C65EBBE}"/>
            </c:ext>
          </c:extLst>
        </c:ser>
        <c:ser>
          <c:idx val="1"/>
          <c:order val="1"/>
          <c:tx>
            <c:strRef>
              <c:f>'AP Charts'!$A$35</c:f>
              <c:strCache>
                <c:ptCount val="1"/>
                <c:pt idx="0">
                  <c:v>  Overpayment Refund Research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 Charts'!$B$33:$D$33</c:f>
              <c:strCache>
                <c:ptCount val="3"/>
                <c:pt idx="0">
                  <c:v> Feb'24 </c:v>
                </c:pt>
                <c:pt idx="1">
                  <c:v>Mar'24</c:v>
                </c:pt>
                <c:pt idx="2">
                  <c:v>Apr'24</c:v>
                </c:pt>
              </c:strCache>
            </c:strRef>
          </c:cat>
          <c:val>
            <c:numRef>
              <c:f>'AP Charts'!$B$35:$D$35</c:f>
              <c:numCache>
                <c:formatCode>General</c:formatCode>
                <c:ptCount val="3"/>
                <c:pt idx="0">
                  <c:v>780</c:v>
                </c:pt>
                <c:pt idx="1">
                  <c:v>962</c:v>
                </c:pt>
                <c:pt idx="2">
                  <c:v>885</c:v>
                </c:pt>
              </c:numCache>
            </c:numRef>
          </c:val>
          <c:extLst>
            <c:ext xmlns:c16="http://schemas.microsoft.com/office/drawing/2014/chart" uri="{C3380CC4-5D6E-409C-BE32-E72D297353CC}">
              <c16:uniqueId val="{00000001-3928-436B-9123-7B719C65EBBE}"/>
            </c:ext>
          </c:extLst>
        </c:ser>
        <c:ser>
          <c:idx val="2"/>
          <c:order val="2"/>
          <c:tx>
            <c:strRef>
              <c:f>'AP Charts'!$A$36</c:f>
              <c:strCache>
                <c:ptCount val="1"/>
                <c:pt idx="0">
                  <c:v>  Online Decisioning </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 Charts'!$B$33:$D$33</c:f>
              <c:strCache>
                <c:ptCount val="3"/>
                <c:pt idx="0">
                  <c:v> Feb'24 </c:v>
                </c:pt>
                <c:pt idx="1">
                  <c:v>Mar'24</c:v>
                </c:pt>
                <c:pt idx="2">
                  <c:v>Apr'24</c:v>
                </c:pt>
              </c:strCache>
            </c:strRef>
          </c:cat>
          <c:val>
            <c:numRef>
              <c:f>'AP Charts'!$B$36:$D$36</c:f>
              <c:numCache>
                <c:formatCode>#,##0</c:formatCode>
                <c:ptCount val="3"/>
                <c:pt idx="0">
                  <c:v>1761</c:v>
                </c:pt>
                <c:pt idx="1">
                  <c:v>2072</c:v>
                </c:pt>
                <c:pt idx="2">
                  <c:v>2375</c:v>
                </c:pt>
              </c:numCache>
            </c:numRef>
          </c:val>
          <c:extLst>
            <c:ext xmlns:c16="http://schemas.microsoft.com/office/drawing/2014/chart" uri="{C3380CC4-5D6E-409C-BE32-E72D297353CC}">
              <c16:uniqueId val="{00000002-3928-436B-9123-7B719C65EBBE}"/>
            </c:ext>
          </c:extLst>
        </c:ser>
        <c:ser>
          <c:idx val="3"/>
          <c:order val="3"/>
          <c:tx>
            <c:strRef>
              <c:f>'AP Charts'!$A$37</c:f>
              <c:strCache>
                <c:ptCount val="1"/>
                <c:pt idx="0">
                  <c:v>  PCF Processing </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 Charts'!$B$33:$D$33</c:f>
              <c:strCache>
                <c:ptCount val="3"/>
                <c:pt idx="0">
                  <c:v> Feb'24 </c:v>
                </c:pt>
                <c:pt idx="1">
                  <c:v>Mar'24</c:v>
                </c:pt>
                <c:pt idx="2">
                  <c:v>Apr'24</c:v>
                </c:pt>
              </c:strCache>
            </c:strRef>
          </c:cat>
          <c:val>
            <c:numRef>
              <c:f>'AP Charts'!$B$37:$D$37</c:f>
              <c:numCache>
                <c:formatCode>#,##0</c:formatCode>
                <c:ptCount val="3"/>
                <c:pt idx="0">
                  <c:v>3923</c:v>
                </c:pt>
                <c:pt idx="1">
                  <c:v>4114</c:v>
                </c:pt>
                <c:pt idx="2">
                  <c:v>3745</c:v>
                </c:pt>
              </c:numCache>
            </c:numRef>
          </c:val>
          <c:extLst>
            <c:ext xmlns:c16="http://schemas.microsoft.com/office/drawing/2014/chart" uri="{C3380CC4-5D6E-409C-BE32-E72D297353CC}">
              <c16:uniqueId val="{00000003-3928-436B-9123-7B719C65EBBE}"/>
            </c:ext>
          </c:extLst>
        </c:ser>
        <c:ser>
          <c:idx val="4"/>
          <c:order val="4"/>
          <c:tx>
            <c:strRef>
              <c:f>'AP Charts'!$A$38</c:f>
              <c:strCache>
                <c:ptCount val="1"/>
                <c:pt idx="0">
                  <c:v>  PCF Review </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 Charts'!$B$33:$D$33</c:f>
              <c:strCache>
                <c:ptCount val="3"/>
                <c:pt idx="0">
                  <c:v> Feb'24 </c:v>
                </c:pt>
                <c:pt idx="1">
                  <c:v>Mar'24</c:v>
                </c:pt>
                <c:pt idx="2">
                  <c:v>Apr'24</c:v>
                </c:pt>
              </c:strCache>
            </c:strRef>
          </c:cat>
          <c:val>
            <c:numRef>
              <c:f>'AP Charts'!$B$38:$D$38</c:f>
              <c:numCache>
                <c:formatCode>#,##0</c:formatCode>
                <c:ptCount val="3"/>
                <c:pt idx="0">
                  <c:v>3748</c:v>
                </c:pt>
                <c:pt idx="1">
                  <c:v>3837</c:v>
                </c:pt>
                <c:pt idx="2">
                  <c:v>3266</c:v>
                </c:pt>
              </c:numCache>
            </c:numRef>
          </c:val>
          <c:extLst>
            <c:ext xmlns:c16="http://schemas.microsoft.com/office/drawing/2014/chart" uri="{C3380CC4-5D6E-409C-BE32-E72D297353CC}">
              <c16:uniqueId val="{00000004-3928-436B-9123-7B719C65EBBE}"/>
            </c:ext>
          </c:extLst>
        </c:ser>
        <c:ser>
          <c:idx val="5"/>
          <c:order val="5"/>
          <c:tx>
            <c:strRef>
              <c:f>'AP Charts'!$A$39</c:f>
              <c:strCache>
                <c:ptCount val="1"/>
                <c:pt idx="0">
                  <c:v> AR Audits </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 Charts'!$B$33:$D$33</c:f>
              <c:strCache>
                <c:ptCount val="3"/>
                <c:pt idx="0">
                  <c:v> Feb'24 </c:v>
                </c:pt>
                <c:pt idx="1">
                  <c:v>Mar'24</c:v>
                </c:pt>
                <c:pt idx="2">
                  <c:v>Apr'24</c:v>
                </c:pt>
              </c:strCache>
            </c:strRef>
          </c:cat>
          <c:val>
            <c:numRef>
              <c:f>'AP Charts'!$B$39:$D$39</c:f>
              <c:numCache>
                <c:formatCode>#,##0</c:formatCode>
                <c:ptCount val="3"/>
                <c:pt idx="0">
                  <c:v>5111</c:v>
                </c:pt>
                <c:pt idx="1">
                  <c:v>5582</c:v>
                </c:pt>
                <c:pt idx="2">
                  <c:v>7124</c:v>
                </c:pt>
              </c:numCache>
            </c:numRef>
          </c:val>
          <c:extLst>
            <c:ext xmlns:c16="http://schemas.microsoft.com/office/drawing/2014/chart" uri="{C3380CC4-5D6E-409C-BE32-E72D297353CC}">
              <c16:uniqueId val="{00000005-3928-436B-9123-7B719C65EBBE}"/>
            </c:ext>
          </c:extLst>
        </c:ser>
        <c:ser>
          <c:idx val="6"/>
          <c:order val="6"/>
          <c:tx>
            <c:strRef>
              <c:f>'AP Charts'!$A$40</c:f>
              <c:strCache>
                <c:ptCount val="1"/>
                <c:pt idx="0">
                  <c:v>  Auction Repo </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 Charts'!$B$33:$D$33</c:f>
              <c:strCache>
                <c:ptCount val="3"/>
                <c:pt idx="0">
                  <c:v> Feb'24 </c:v>
                </c:pt>
                <c:pt idx="1">
                  <c:v>Mar'24</c:v>
                </c:pt>
                <c:pt idx="2">
                  <c:v>Apr'24</c:v>
                </c:pt>
              </c:strCache>
            </c:strRef>
          </c:cat>
          <c:val>
            <c:numRef>
              <c:f>'AP Charts'!$B$40:$D$40</c:f>
              <c:numCache>
                <c:formatCode>#,##0</c:formatCode>
                <c:ptCount val="3"/>
                <c:pt idx="0">
                  <c:v>7451</c:v>
                </c:pt>
                <c:pt idx="1">
                  <c:v>7477</c:v>
                </c:pt>
                <c:pt idx="2">
                  <c:v>7343</c:v>
                </c:pt>
              </c:numCache>
            </c:numRef>
          </c:val>
          <c:extLst>
            <c:ext xmlns:c16="http://schemas.microsoft.com/office/drawing/2014/chart" uri="{C3380CC4-5D6E-409C-BE32-E72D297353CC}">
              <c16:uniqueId val="{00000006-3928-436B-9123-7B719C65EBBE}"/>
            </c:ext>
          </c:extLst>
        </c:ser>
        <c:dLbls>
          <c:showLegendKey val="0"/>
          <c:showVal val="0"/>
          <c:showCatName val="0"/>
          <c:showSerName val="0"/>
          <c:showPercent val="0"/>
          <c:showBubbleSize val="0"/>
        </c:dLbls>
        <c:gapWidth val="219"/>
        <c:overlap val="-27"/>
        <c:axId val="714155512"/>
        <c:axId val="714157672"/>
      </c:barChart>
      <c:catAx>
        <c:axId val="714155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4157672"/>
        <c:crosses val="autoZero"/>
        <c:auto val="1"/>
        <c:lblAlgn val="ctr"/>
        <c:lblOffset val="100"/>
        <c:noMultiLvlLbl val="0"/>
      </c:catAx>
      <c:valAx>
        <c:axId val="714157672"/>
        <c:scaling>
          <c:orientation val="minMax"/>
        </c:scaling>
        <c:delete val="0"/>
        <c:axPos val="l"/>
        <c:majorGridlines>
          <c:spPr>
            <a:ln w="9525" cap="flat" cmpd="sng" algn="ctr">
              <a:no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4155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Volume Trend - Feb'24 to Apr'24</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'AP Charts'!$B$33</c:f>
              <c:strCache>
                <c:ptCount val="1"/>
                <c:pt idx="0">
                  <c:v> Feb'24 </c:v>
                </c:pt>
              </c:strCache>
            </c:strRef>
          </c:tx>
          <c:spPr>
            <a:solidFill>
              <a:schemeClr val="accent2">
                <a:lumMod val="60000"/>
                <a:lumOff val="40000"/>
              </a:schemeClr>
            </a:solidFill>
            <a:ln>
              <a:noFill/>
            </a:ln>
            <a:effectLst/>
          </c:spPr>
          <c:invertIfNegative val="0"/>
          <c:dLbls>
            <c:dLbl>
              <c:idx val="0"/>
              <c:layout>
                <c:manualLayout>
                  <c:x val="0"/>
                  <c:y val="1.053696412948381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B9E-4375-9AA6-98FB64ADE91F}"/>
                </c:ext>
              </c:extLst>
            </c:dLbl>
            <c:dLbl>
              <c:idx val="1"/>
              <c:layout>
                <c:manualLayout>
                  <c:x val="0"/>
                  <c:y val="8.706255468066576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B9E-4375-9AA6-98FB64ADE91F}"/>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 Charts'!$A$34:$A$40</c:f>
              <c:strCache>
                <c:ptCount val="7"/>
                <c:pt idx="0">
                  <c:v>  Electronic Payment Posting </c:v>
                </c:pt>
                <c:pt idx="1">
                  <c:v>  Overpayment Refund Research </c:v>
                </c:pt>
                <c:pt idx="2">
                  <c:v>  Online Decisioning </c:v>
                </c:pt>
                <c:pt idx="3">
                  <c:v>  PCF Processing </c:v>
                </c:pt>
                <c:pt idx="4">
                  <c:v>  PCF Review </c:v>
                </c:pt>
                <c:pt idx="5">
                  <c:v> AR Audits </c:v>
                </c:pt>
                <c:pt idx="6">
                  <c:v>  Auction Repo </c:v>
                </c:pt>
              </c:strCache>
            </c:strRef>
          </c:cat>
          <c:val>
            <c:numRef>
              <c:f>'AP Charts'!$B$34:$B$40</c:f>
              <c:numCache>
                <c:formatCode>General</c:formatCode>
                <c:ptCount val="7"/>
                <c:pt idx="0">
                  <c:v>609</c:v>
                </c:pt>
                <c:pt idx="1">
                  <c:v>780</c:v>
                </c:pt>
                <c:pt idx="2" formatCode="#,##0">
                  <c:v>1761</c:v>
                </c:pt>
                <c:pt idx="3" formatCode="#,##0">
                  <c:v>3923</c:v>
                </c:pt>
                <c:pt idx="4" formatCode="#,##0">
                  <c:v>3748</c:v>
                </c:pt>
                <c:pt idx="5" formatCode="#,##0">
                  <c:v>5111</c:v>
                </c:pt>
                <c:pt idx="6" formatCode="#,##0">
                  <c:v>7451</c:v>
                </c:pt>
              </c:numCache>
            </c:numRef>
          </c:val>
          <c:extLst>
            <c:ext xmlns:c16="http://schemas.microsoft.com/office/drawing/2014/chart" uri="{C3380CC4-5D6E-409C-BE32-E72D297353CC}">
              <c16:uniqueId val="{00000000-9B9E-4375-9AA6-98FB64ADE91F}"/>
            </c:ext>
          </c:extLst>
        </c:ser>
        <c:ser>
          <c:idx val="1"/>
          <c:order val="1"/>
          <c:tx>
            <c:strRef>
              <c:f>'AP Charts'!$C$33</c:f>
              <c:strCache>
                <c:ptCount val="1"/>
                <c:pt idx="0">
                  <c:v>Mar'24</c:v>
                </c:pt>
              </c:strCache>
            </c:strRef>
          </c:tx>
          <c:spPr>
            <a:solidFill>
              <a:schemeClr val="accent1">
                <a:lumMod val="60000"/>
                <a:lumOff val="40000"/>
              </a:schemeClr>
            </a:solidFill>
            <a:ln>
              <a:noFill/>
            </a:ln>
            <a:effectLst/>
          </c:spPr>
          <c:invertIfNegative val="0"/>
          <c:dLbls>
            <c:dLbl>
              <c:idx val="0"/>
              <c:layout>
                <c:manualLayout>
                  <c:x val="4.1731872717788209E-3"/>
                  <c:y val="9.4331437736949551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B9E-4375-9AA6-98FB64ADE91F}"/>
                </c:ext>
              </c:extLst>
            </c:dLbl>
            <c:dLbl>
              <c:idx val="1"/>
              <c:layout>
                <c:manualLayout>
                  <c:x val="0"/>
                  <c:y val="2.15401720618256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B9E-4375-9AA6-98FB64ADE91F}"/>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 Charts'!$A$34:$A$40</c:f>
              <c:strCache>
                <c:ptCount val="7"/>
                <c:pt idx="0">
                  <c:v>  Electronic Payment Posting </c:v>
                </c:pt>
                <c:pt idx="1">
                  <c:v>  Overpayment Refund Research </c:v>
                </c:pt>
                <c:pt idx="2">
                  <c:v>  Online Decisioning </c:v>
                </c:pt>
                <c:pt idx="3">
                  <c:v>  PCF Processing </c:v>
                </c:pt>
                <c:pt idx="4">
                  <c:v>  PCF Review </c:v>
                </c:pt>
                <c:pt idx="5">
                  <c:v> AR Audits </c:v>
                </c:pt>
                <c:pt idx="6">
                  <c:v>  Auction Repo </c:v>
                </c:pt>
              </c:strCache>
            </c:strRef>
          </c:cat>
          <c:val>
            <c:numRef>
              <c:f>'AP Charts'!$C$34:$C$40</c:f>
              <c:numCache>
                <c:formatCode>General</c:formatCode>
                <c:ptCount val="7"/>
                <c:pt idx="0">
                  <c:v>659</c:v>
                </c:pt>
                <c:pt idx="1">
                  <c:v>962</c:v>
                </c:pt>
                <c:pt idx="2" formatCode="#,##0">
                  <c:v>2072</c:v>
                </c:pt>
                <c:pt idx="3" formatCode="#,##0">
                  <c:v>4114</c:v>
                </c:pt>
                <c:pt idx="4" formatCode="#,##0">
                  <c:v>3837</c:v>
                </c:pt>
                <c:pt idx="5" formatCode="#,##0">
                  <c:v>5582</c:v>
                </c:pt>
                <c:pt idx="6" formatCode="#,##0">
                  <c:v>7477</c:v>
                </c:pt>
              </c:numCache>
            </c:numRef>
          </c:val>
          <c:extLst>
            <c:ext xmlns:c16="http://schemas.microsoft.com/office/drawing/2014/chart" uri="{C3380CC4-5D6E-409C-BE32-E72D297353CC}">
              <c16:uniqueId val="{00000001-9B9E-4375-9AA6-98FB64ADE91F}"/>
            </c:ext>
          </c:extLst>
        </c:ser>
        <c:ser>
          <c:idx val="2"/>
          <c:order val="2"/>
          <c:tx>
            <c:strRef>
              <c:f>'AP Charts'!$D$33</c:f>
              <c:strCache>
                <c:ptCount val="1"/>
                <c:pt idx="0">
                  <c:v>Apr'24</c:v>
                </c:pt>
              </c:strCache>
            </c:strRef>
          </c:tx>
          <c:spPr>
            <a:solidFill>
              <a:schemeClr val="accent6">
                <a:lumMod val="60000"/>
                <a:lumOff val="40000"/>
              </a:schemeClr>
            </a:solidFill>
            <a:ln>
              <a:noFill/>
            </a:ln>
            <a:effectLst/>
          </c:spPr>
          <c:invertIfNegative val="0"/>
          <c:dLbls>
            <c:dLbl>
              <c:idx val="0"/>
              <c:layout>
                <c:manualLayout>
                  <c:x val="4.17318727177884E-3"/>
                  <c:y val="-7.0651064450277896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B9E-4375-9AA6-98FB64ADE91F}"/>
                </c:ext>
              </c:extLst>
            </c:dLbl>
            <c:dLbl>
              <c:idx val="1"/>
              <c:layout>
                <c:manualLayout>
                  <c:x val="-3.8253774747102328E-17"/>
                  <c:y val="6.8511227763196269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B9E-4375-9AA6-98FB64ADE91F}"/>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'AP Charts'!$A$34:$A$40</c:f>
              <c:strCache>
                <c:ptCount val="7"/>
                <c:pt idx="0">
                  <c:v>  Electronic Payment Posting </c:v>
                </c:pt>
                <c:pt idx="1">
                  <c:v>  Overpayment Refund Research </c:v>
                </c:pt>
                <c:pt idx="2">
                  <c:v>  Online Decisioning </c:v>
                </c:pt>
                <c:pt idx="3">
                  <c:v>  PCF Processing </c:v>
                </c:pt>
                <c:pt idx="4">
                  <c:v>  PCF Review </c:v>
                </c:pt>
                <c:pt idx="5">
                  <c:v> AR Audits </c:v>
                </c:pt>
                <c:pt idx="6">
                  <c:v>  Auction Repo </c:v>
                </c:pt>
              </c:strCache>
            </c:strRef>
          </c:cat>
          <c:val>
            <c:numRef>
              <c:f>'AP Charts'!$D$34:$D$40</c:f>
              <c:numCache>
                <c:formatCode>General</c:formatCode>
                <c:ptCount val="7"/>
                <c:pt idx="0">
                  <c:v>622</c:v>
                </c:pt>
                <c:pt idx="1">
                  <c:v>885</c:v>
                </c:pt>
                <c:pt idx="2" formatCode="#,##0">
                  <c:v>2375</c:v>
                </c:pt>
                <c:pt idx="3" formatCode="#,##0">
                  <c:v>3745</c:v>
                </c:pt>
                <c:pt idx="4" formatCode="#,##0">
                  <c:v>3266</c:v>
                </c:pt>
                <c:pt idx="5" formatCode="#,##0">
                  <c:v>7124</c:v>
                </c:pt>
                <c:pt idx="6" formatCode="#,##0">
                  <c:v>7343</c:v>
                </c:pt>
              </c:numCache>
            </c:numRef>
          </c:val>
          <c:extLst>
            <c:ext xmlns:c16="http://schemas.microsoft.com/office/drawing/2014/chart" uri="{C3380CC4-5D6E-409C-BE32-E72D297353CC}">
              <c16:uniqueId val="{00000002-9B9E-4375-9AA6-98FB64ADE91F}"/>
            </c:ext>
          </c:extLst>
        </c:ser>
        <c:dLbls>
          <c:showLegendKey val="0"/>
          <c:showVal val="0"/>
          <c:showCatName val="0"/>
          <c:showSerName val="0"/>
          <c:showPercent val="0"/>
          <c:showBubbleSize val="0"/>
        </c:dLbls>
        <c:gapWidth val="219"/>
        <c:overlap val="-27"/>
        <c:axId val="1098397088"/>
        <c:axId val="1098399608"/>
      </c:barChart>
      <c:catAx>
        <c:axId val="1098397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crossAx val="1098399608"/>
        <c:crosses val="autoZero"/>
        <c:auto val="1"/>
        <c:lblAlgn val="ctr"/>
        <c:lblOffset val="100"/>
        <c:noMultiLvlLbl val="0"/>
      </c:catAx>
      <c:valAx>
        <c:axId val="10983996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98397088"/>
        <c:crosses val="autoZero"/>
        <c:crossBetween val="between"/>
      </c:valAx>
      <c:spPr>
        <a:noFill/>
        <a:ln>
          <a:noFill/>
        </a:ln>
        <a:effectLst/>
      </c:spPr>
    </c:plotArea>
    <c:legend>
      <c:legendPos val="b"/>
      <c:layout>
        <c:manualLayout>
          <c:xMode val="edge"/>
          <c:yMode val="edge"/>
          <c:x val="0.31862301249902447"/>
          <c:y val="0.89409667541557303"/>
          <c:w val="0.46291030522593124"/>
          <c:h val="7.8125546806649168E-2"/>
        </c:manualLayout>
      </c:layout>
      <c:overlay val="0"/>
      <c:spPr>
        <a:noFill/>
        <a:ln>
          <a:noFill/>
        </a:ln>
        <a:effectLst/>
      </c:spPr>
      <c:txPr>
        <a:bodyPr rot="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5">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5875" cap="flat" cmpd="sng" algn="ctr">
        <a:solidFill>
          <a:schemeClr val="tx1">
            <a:lumMod val="25000"/>
            <a:lumOff val="75000"/>
          </a:schemeClr>
        </a:solidFill>
        <a:round/>
      </a:ln>
    </cs:spPr>
    <cs:defRPr sz="900" kern="1200" cap="none" spc="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70000"/>
        </a:schemeClr>
      </a:solidFill>
    </cs:spPr>
  </cs:dataPoint>
  <cs:dataPoint3D>
    <cs:lnRef idx="0"/>
    <cs:fillRef idx="0">
      <cs:styleClr val="auto"/>
    </cs:fillRef>
    <cs:effectRef idx="0"/>
    <cs:fontRef idx="minor">
      <a:schemeClr val="dk1"/>
    </cs:fontRef>
    <cs:spPr>
      <a:solidFill>
        <a:schemeClr val="phClr">
          <a:alpha val="70000"/>
        </a:schemeClr>
      </a:solidFill>
    </cs:spPr>
  </cs:dataPoint3D>
  <cs:dataPointLine>
    <cs:lnRef idx="0">
      <cs:styleClr val="auto"/>
    </cs:lnRef>
    <cs:fillRef idx="0"/>
    <cs:effectRef idx="0"/>
    <cs:fontRef idx="minor">
      <a:schemeClr val="dk1"/>
    </cs:fontRef>
    <cs:spPr>
      <a:ln w="28575" cap="rnd">
        <a:solidFill>
          <a:schemeClr val="phClr">
            <a:alpha val="70000"/>
          </a:schemeClr>
        </a:solidFill>
        <a:round/>
      </a:ln>
    </cs:spPr>
  </cs:dataPointLine>
  <cs:dataPointMarker>
    <cs:lnRef idx="0"/>
    <cs:fillRef idx="0">
      <cs:styleClr val="auto"/>
    </cs:fillRef>
    <cs:effectRef idx="0"/>
    <cs:fontRef idx="minor">
      <a:schemeClr val="dk1"/>
    </cs:fontRef>
    <cs:spPr>
      <a:solidFill>
        <a:schemeClr val="phClr">
          <a:alpha val="70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5000"/>
            <a:lumOff val="9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baseline="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ajor">
      <a:schemeClr val="tx1">
        <a:lumMod val="65000"/>
        <a:lumOff val="35000"/>
      </a:schemeClr>
    </cs:fontRef>
    <cs:defRPr sz="1600" b="0" i="0" kern="1200" cap="none" spc="50" normalizeH="0" baseline="0"/>
  </cs:title>
  <cs:trendline>
    <cs:lnRef idx="0">
      <cs:styleClr val="auto"/>
    </cs:lnRef>
    <cs:fillRef idx="0"/>
    <cs:effectRef idx="0"/>
    <cs:fontRef idx="minor">
      <a:schemeClr val="dk1"/>
    </cs:fontRef>
    <cs:spPr>
      <a:ln w="1587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spc="20" baseline="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6">
  <cs:axisTitle>
    <cs:lnRef idx="0"/>
    <cs:fillRef idx="0"/>
    <cs:effectRef idx="0"/>
    <cs:fontRef idx="minor">
      <a:schemeClr val="tx1">
        <a:lumMod val="50000"/>
        <a:lumOff val="50000"/>
      </a:schemeClr>
    </cs:fontRef>
    <cs:defRPr sz="900" kern="1200" cap="all"/>
  </cs:axisTitle>
  <cs:category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
  <cs:dataPoint3D>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3D>
  <cs:dataPointLine>
    <cs:lnRef idx="0">
      <cs:styleClr val="auto"/>
    </cs:lnRef>
    <cs:fillRef idx="2">
      <cs:styleClr val="auto"/>
    </cs:fillRef>
    <cs:effectRef idx="1"/>
    <cs:fontRef idx="minor">
      <a:schemeClr val="dk1"/>
    </cs:fontRef>
    <cs:spPr>
      <a:ln w="15875" cap="rnd">
        <a:solidFill>
          <a:schemeClr val="phClr"/>
        </a:solidFill>
        <a:round/>
      </a:ln>
    </cs:spPr>
  </cs:dataPointLine>
  <cs:dataPointMarker>
    <cs:lnRef idx="0">
      <cs:styleClr val="auto"/>
    </cs:lnRef>
    <cs:fillRef idx="2">
      <cs:styleClr val="auto"/>
    </cs:fillRef>
    <cs:effectRef idx="1"/>
    <cs:fontRef idx="minor">
      <a:schemeClr val="dk1"/>
    </cs:fontRef>
    <cs:spPr>
      <a:ln w="9525" cap="flat" cmpd="sng" algn="ctr">
        <a:solidFill>
          <a:schemeClr val="phClr">
            <a:shade val="95000"/>
          </a:schemeClr>
        </a:solidFill>
        <a:round/>
      </a:ln>
    </cs:spPr>
  </cs:dataPointMarker>
  <cs:dataPointMarkerLayout symbol="circle" size="4"/>
  <cs:dataPointWireframe>
    <cs:lnRef idx="0">
      <cs:styleClr val="auto"/>
    </cs:lnRef>
    <cs:fillRef idx="2"/>
    <cs:effectRef idx="0"/>
    <cs:fontRef idx="minor">
      <a:schemeClr val="dk1"/>
    </cs:fontRef>
    <cs:spPr>
      <a:ln w="9525" cap="rnd">
        <a:solidFill>
          <a:schemeClr val="phClr"/>
        </a:solidFill>
        <a:round/>
      </a:ln>
    </cs:spPr>
  </cs:dataPointWireframe>
  <cs:dataTable>
    <cs:lnRef idx="0"/>
    <cs:fillRef idx="0"/>
    <cs:effectRef idx="0"/>
    <cs:fontRef idx="minor">
      <a:schemeClr val="tx1">
        <a:lumMod val="50000"/>
        <a:lumOff val="50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prstDash val="dash"/>
      </a:ln>
    </cs:spPr>
  </cs:dropLine>
  <cs:errorBar>
    <cs:lnRef idx="0"/>
    <cs:fillRef idx="0"/>
    <cs:effectRef idx="0"/>
    <cs:fontRef idx="minor">
      <a:schemeClr val="dk1"/>
    </cs:fontRef>
    <cs:spPr>
      <a:ln w="9525">
        <a:solidFill>
          <a:schemeClr val="tx1">
            <a:lumMod val="50000"/>
            <a:lumOff val="50000"/>
          </a:schemeClr>
        </a:solidFill>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prstDash val="dash"/>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50000"/>
        <a:lumOff val="50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50000"/>
        <a:lumOff val="50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prstDash val="dash"/>
      </a:ln>
    </cs:spPr>
  </cs:seriesLine>
  <cs:title>
    <cs:lnRef idx="0"/>
    <cs:fillRef idx="0"/>
    <cs:effectRef idx="0"/>
    <cs:fontRef idx="minor">
      <a:schemeClr val="tx1">
        <a:lumMod val="50000"/>
        <a:lumOff val="50000"/>
      </a:schemeClr>
    </cs:fontRef>
    <cs:defRPr sz="1400" kern="1200" cap="none" spc="20" baseline="0"/>
  </cs:title>
  <cs:trendline>
    <cs:lnRef idx="0">
      <cs:styleClr val="auto"/>
    </cs:lnRef>
    <cs:fillRef idx="2"/>
    <cs:effectRef idx="0"/>
    <cs:fontRef idx="minor">
      <a:schemeClr val="dk1"/>
    </cs:fontRef>
    <cs:spPr>
      <a:ln w="9525" cap="rnd">
        <a:solidFill>
          <a:schemeClr val="phClr"/>
        </a:solidFill>
      </a:ln>
    </cs:spPr>
  </cs:trendline>
  <cs:trendlineLabel>
    <cs:lnRef idx="0"/>
    <cs:fillRef idx="0"/>
    <cs:effectRef idx="0"/>
    <cs:fontRef idx="minor">
      <a:schemeClr val="tx1">
        <a:lumMod val="50000"/>
        <a:lumOff val="50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50000"/>
        <a:lumOff val="50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76200</xdr:colOff>
      <xdr:row>0</xdr:row>
      <xdr:rowOff>71437</xdr:rowOff>
    </xdr:from>
    <xdr:to>
      <xdr:col>14</xdr:col>
      <xdr:colOff>381000</xdr:colOff>
      <xdr:row>12</xdr:row>
      <xdr:rowOff>147637</xdr:rowOff>
    </xdr:to>
    <xdr:graphicFrame macro="">
      <xdr:nvGraphicFramePr>
        <xdr:cNvPr id="2" name="Chart 1">
          <a:extLst>
            <a:ext uri="{FF2B5EF4-FFF2-40B4-BE49-F238E27FC236}">
              <a16:creationId xmlns:a16="http://schemas.microsoft.com/office/drawing/2014/main" id="{D3913D38-D892-43A9-B0DB-AC5039FA85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142875</xdr:colOff>
      <xdr:row>15</xdr:row>
      <xdr:rowOff>42862</xdr:rowOff>
    </xdr:from>
    <xdr:to>
      <xdr:col>14</xdr:col>
      <xdr:colOff>447675</xdr:colOff>
      <xdr:row>28</xdr:row>
      <xdr:rowOff>119062</xdr:rowOff>
    </xdr:to>
    <xdr:graphicFrame macro="">
      <xdr:nvGraphicFramePr>
        <xdr:cNvPr id="3" name="Chart 2">
          <a:extLst>
            <a:ext uri="{FF2B5EF4-FFF2-40B4-BE49-F238E27FC236}">
              <a16:creationId xmlns:a16="http://schemas.microsoft.com/office/drawing/2014/main" id="{A438C2D2-CF56-4A30-9B55-0EBCA1E2E7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190500</xdr:colOff>
      <xdr:row>29</xdr:row>
      <xdr:rowOff>185737</xdr:rowOff>
    </xdr:from>
    <xdr:to>
      <xdr:col>14</xdr:col>
      <xdr:colOff>495300</xdr:colOff>
      <xdr:row>43</xdr:row>
      <xdr:rowOff>71437</xdr:rowOff>
    </xdr:to>
    <xdr:graphicFrame macro="">
      <xdr:nvGraphicFramePr>
        <xdr:cNvPr id="4" name="Chart 3">
          <a:extLst>
            <a:ext uri="{FF2B5EF4-FFF2-40B4-BE49-F238E27FC236}">
              <a16:creationId xmlns:a16="http://schemas.microsoft.com/office/drawing/2014/main" id="{A1096F01-2A7C-414E-B60B-B44C6CD94CD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628651</xdr:colOff>
      <xdr:row>13</xdr:row>
      <xdr:rowOff>61912</xdr:rowOff>
    </xdr:from>
    <xdr:to>
      <xdr:col>4</xdr:col>
      <xdr:colOff>0</xdr:colOff>
      <xdr:row>27</xdr:row>
      <xdr:rowOff>138112</xdr:rowOff>
    </xdr:to>
    <xdr:graphicFrame macro="">
      <xdr:nvGraphicFramePr>
        <xdr:cNvPr id="2" name="Chart 1">
          <a:extLst>
            <a:ext uri="{FF2B5EF4-FFF2-40B4-BE49-F238E27FC236}">
              <a16:creationId xmlns:a16="http://schemas.microsoft.com/office/drawing/2014/main" id="{B6238BDA-D03B-D1F8-6AF3-9F2473BD5F2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323850</xdr:colOff>
      <xdr:row>27</xdr:row>
      <xdr:rowOff>76201</xdr:rowOff>
    </xdr:from>
    <xdr:to>
      <xdr:col>19</xdr:col>
      <xdr:colOff>190500</xdr:colOff>
      <xdr:row>45</xdr:row>
      <xdr:rowOff>23813</xdr:rowOff>
    </xdr:to>
    <xdr:graphicFrame macro="">
      <xdr:nvGraphicFramePr>
        <xdr:cNvPr id="5" name="Chart 4">
          <a:extLst>
            <a:ext uri="{FF2B5EF4-FFF2-40B4-BE49-F238E27FC236}">
              <a16:creationId xmlns:a16="http://schemas.microsoft.com/office/drawing/2014/main" id="{3308E9D6-0F6D-6595-BC3E-13A705008CF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95249</xdr:colOff>
      <xdr:row>46</xdr:row>
      <xdr:rowOff>147637</xdr:rowOff>
    </xdr:from>
    <xdr:to>
      <xdr:col>15</xdr:col>
      <xdr:colOff>85724</xdr:colOff>
      <xdr:row>61</xdr:row>
      <xdr:rowOff>33337</xdr:rowOff>
    </xdr:to>
    <xdr:graphicFrame macro="">
      <xdr:nvGraphicFramePr>
        <xdr:cNvPr id="3" name="Chart 2">
          <a:extLst>
            <a:ext uri="{FF2B5EF4-FFF2-40B4-BE49-F238E27FC236}">
              <a16:creationId xmlns:a16="http://schemas.microsoft.com/office/drawing/2014/main" id="{CEC9A54E-4BDA-4423-750F-B3C67A1B44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chganes\Desktop\BC%20Monthly%20Report%20May.xlsx" TargetMode="External"/><Relationship Id="rId1" Type="http://schemas.openxmlformats.org/officeDocument/2006/relationships/externalLinkPath" Target="BC%20Monthly%20Report%20May.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achganes\AppData\Local\Microsoft\Windows\INetCache\Content.Outlook\RON8IJFC\PS%20-%20Daily%20Dashboard%20JUNE%202024.xlsx" TargetMode="External"/><Relationship Id="rId1" Type="http://schemas.openxmlformats.org/officeDocument/2006/relationships/externalLinkPath" Target="/Users/achganes/AppData/Local/Microsoft/Windows/INetCache/Content.Outlook/RON8IJFC/PS%20-%20Daily%20Dashboard%20JUNE%202024.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achganes\Desktop\BC%20Monthly%20Dashboard%20Aug%202023.xlsx" TargetMode="External"/><Relationship Id="rId1" Type="http://schemas.openxmlformats.org/officeDocument/2006/relationships/externalLinkPath" Target="BC%20Monthly%20Dashboard%20Aug%2020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achganes\AppData\Local\Microsoft\Windows\INetCache\Content.Outlook\RON8IJFC\BC%20Monthly%20Report%20-Nov.xlsx" TargetMode="External"/><Relationship Id="rId1" Type="http://schemas.openxmlformats.org/officeDocument/2006/relationships/externalLinkPath" Target="/Users/achganes/AppData/Local/Microsoft/Windows/INetCache/Content.Outlook/RON8IJFC/BC%20Monthly%20Report%20-Nov.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chganes\Desktop\BC%20Monthly%20Report%20-%20August%202023.xlsx" TargetMode="External"/><Relationship Id="rId1" Type="http://schemas.openxmlformats.org/officeDocument/2006/relationships/externalLinkPath" Target="BC%20Monthly%20Report%20-%20August%2020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achganes\Desktop\BC%20Monthly%20Dashboard%20-Mar%2023.xlsx" TargetMode="External"/><Relationship Id="rId1" Type="http://schemas.openxmlformats.org/officeDocument/2006/relationships/externalLinkPath" Target="BC%20Monthly%20Dashboard%20-Mar%2023.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C:\Users\achganes\Desktop\BC%20Monthly%20Dashboard%20May%202023.xlsx" TargetMode="External"/><Relationship Id="rId1" Type="http://schemas.openxmlformats.org/officeDocument/2006/relationships/externalLinkPath" Target="BC%20Monthly%20Dashboard%20May%202023.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C:\Users\achganes\Desktop\BC%20Monthly%20Dashboard%20June%202023.xlsx" TargetMode="External"/><Relationship Id="rId1" Type="http://schemas.openxmlformats.org/officeDocument/2006/relationships/externalLinkPath" Target="BC%20Monthly%20Dashboard%20June%202023.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achganes\AppData\Local\Microsoft\Windows\INetCache\Content.Outlook\RON8IJFC\AR%20-%20Daily%20Dashboard%20-%20June%202024_.xlsx" TargetMode="External"/><Relationship Id="rId1" Type="http://schemas.openxmlformats.org/officeDocument/2006/relationships/externalLinkPath" Target="/Users/achganes/AppData/Local/Microsoft/Windows/INetCache/Content.Outlook/RON8IJFC/AR%20-%20Daily%20Dashboard%20-%20June%202024_.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C:\Users\achganes\AppData\Local\Microsoft\Windows\INetCache\Content.Outlook\RON8IJFC\PR%20-%20Daily%20Dashboard%20-%20May%202024.xlsx" TargetMode="External"/><Relationship Id="rId1" Type="http://schemas.openxmlformats.org/officeDocument/2006/relationships/externalLinkPath" Target="/Users/achganes/AppData/Local/Microsoft/Windows/INetCache/Content.Outlook/RON8IJFC/PR%20-%20Daily%20Dashboard%20-%20May%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4"/>
      <sheetName val="SM"/>
      <sheetName val="SLA"/>
      <sheetName val="SLA 23"/>
      <sheetName val="SM 2023"/>
      <sheetName val=" GA Trend"/>
      <sheetName val="2023"/>
      <sheetName val="AP Charts"/>
      <sheetName val="Silver Rock"/>
      <sheetName val="AP"/>
      <sheetName val="RC Audit"/>
      <sheetName val="AR"/>
      <sheetName val="PCF"/>
      <sheetName val="PR"/>
      <sheetName val="Phone Support"/>
      <sheetName val="Central Services"/>
      <sheetName val="Cash Balancing"/>
      <sheetName val="GA"/>
    </sheetNames>
    <sheetDataSet>
      <sheetData sheetId="0">
        <row r="4">
          <cell r="E4">
            <v>1987</v>
          </cell>
        </row>
        <row r="12">
          <cell r="B12">
            <v>546</v>
          </cell>
          <cell r="F12">
            <v>786</v>
          </cell>
          <cell r="Q12">
            <v>0.99839228295819937</v>
          </cell>
        </row>
        <row r="16">
          <cell r="B16">
            <v>3603</v>
          </cell>
          <cell r="F16">
            <v>3991</v>
          </cell>
        </row>
      </sheetData>
      <sheetData sheetId="1" refreshError="1"/>
      <sheetData sheetId="2" refreshError="1"/>
      <sheetData sheetId="3" refreshError="1"/>
      <sheetData sheetId="4" refreshError="1"/>
      <sheetData sheetId="5" refreshError="1"/>
      <sheetData sheetId="6" refreshError="1"/>
      <sheetData sheetId="7" refreshError="1"/>
      <sheetData sheetId="8">
        <row r="125">
          <cell r="H125">
            <v>18.023662939775345</v>
          </cell>
          <cell r="I125">
            <v>17.278367268245326</v>
          </cell>
        </row>
        <row r="128">
          <cell r="H128">
            <v>1.001314607765297</v>
          </cell>
          <cell r="I128">
            <v>0.9599092926802959</v>
          </cell>
        </row>
      </sheetData>
      <sheetData sheetId="9">
        <row r="23">
          <cell r="B23">
            <v>1364</v>
          </cell>
        </row>
        <row r="24">
          <cell r="B24">
            <v>1345</v>
          </cell>
        </row>
        <row r="25">
          <cell r="B25">
            <v>19</v>
          </cell>
        </row>
      </sheetData>
      <sheetData sheetId="10" refreshError="1"/>
      <sheetData sheetId="11">
        <row r="27">
          <cell r="B27">
            <v>2384</v>
          </cell>
        </row>
      </sheetData>
      <sheetData sheetId="12" refreshError="1"/>
      <sheetData sheetId="13" refreshError="1"/>
      <sheetData sheetId="14">
        <row r="61">
          <cell r="B61">
            <v>1.9525000000000001</v>
          </cell>
        </row>
      </sheetData>
      <sheetData sheetId="15">
        <row r="7">
          <cell r="B7">
            <v>820</v>
          </cell>
        </row>
        <row r="10">
          <cell r="B10">
            <v>872</v>
          </cell>
        </row>
      </sheetData>
      <sheetData sheetId="16" refreshError="1"/>
      <sheetData sheetId="17">
        <row r="9">
          <cell r="J9">
            <v>239</v>
          </cell>
        </row>
        <row r="10">
          <cell r="J10">
            <v>38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Consolidated Report"/>
      <sheetName val="PR - Activity Tracker"/>
      <sheetName val="AP - Activity Tracker"/>
      <sheetName val="Learning Opportunity"/>
      <sheetName val="Team Structure"/>
      <sheetName val="SOP Status"/>
    </sheetNames>
    <sheetDataSet>
      <sheetData sheetId="0">
        <row r="22">
          <cell r="K22">
            <v>45444</v>
          </cell>
        </row>
      </sheetData>
      <sheetData sheetId="1"/>
      <sheetData sheetId="2">
        <row r="3">
          <cell r="E3">
            <v>0</v>
          </cell>
          <cell r="F3">
            <v>0</v>
          </cell>
          <cell r="G3">
            <v>0</v>
          </cell>
          <cell r="H3">
            <v>0</v>
          </cell>
          <cell r="I3">
            <v>0</v>
          </cell>
          <cell r="L3">
            <v>0</v>
          </cell>
          <cell r="M3">
            <v>0</v>
          </cell>
          <cell r="N3">
            <v>0</v>
          </cell>
          <cell r="O3">
            <v>0</v>
          </cell>
          <cell r="P3">
            <v>0</v>
          </cell>
          <cell r="S3">
            <v>0</v>
          </cell>
          <cell r="T3">
            <v>0</v>
          </cell>
          <cell r="U3">
            <v>0</v>
          </cell>
          <cell r="V3">
            <v>0</v>
          </cell>
          <cell r="W3">
            <v>0</v>
          </cell>
          <cell r="Z3">
            <v>0</v>
          </cell>
          <cell r="AA3">
            <v>0</v>
          </cell>
          <cell r="AB3">
            <v>0</v>
          </cell>
          <cell r="AC3" t="str">
            <v>PTO</v>
          </cell>
          <cell r="AD3">
            <v>0</v>
          </cell>
        </row>
        <row r="4">
          <cell r="E4">
            <v>3</v>
          </cell>
          <cell r="F4" t="str">
            <v>PTO</v>
          </cell>
          <cell r="G4" t="str">
            <v>PTO</v>
          </cell>
          <cell r="H4">
            <v>9</v>
          </cell>
          <cell r="I4">
            <v>1</v>
          </cell>
          <cell r="L4">
            <v>7</v>
          </cell>
          <cell r="M4">
            <v>3</v>
          </cell>
          <cell r="N4">
            <v>13</v>
          </cell>
          <cell r="O4">
            <v>6</v>
          </cell>
          <cell r="P4">
            <v>9</v>
          </cell>
          <cell r="S4">
            <v>13</v>
          </cell>
          <cell r="T4">
            <v>9</v>
          </cell>
          <cell r="U4">
            <v>4</v>
          </cell>
          <cell r="V4">
            <v>2</v>
          </cell>
          <cell r="W4">
            <v>4</v>
          </cell>
          <cell r="Z4">
            <v>9</v>
          </cell>
          <cell r="AA4" t="str">
            <v>PTO</v>
          </cell>
          <cell r="AB4">
            <v>2</v>
          </cell>
          <cell r="AC4">
            <v>7</v>
          </cell>
          <cell r="AD4">
            <v>4</v>
          </cell>
        </row>
        <row r="5">
          <cell r="E5">
            <v>2</v>
          </cell>
          <cell r="F5">
            <v>3</v>
          </cell>
          <cell r="G5">
            <v>1</v>
          </cell>
          <cell r="H5">
            <v>1</v>
          </cell>
          <cell r="I5">
            <v>4</v>
          </cell>
          <cell r="L5" t="str">
            <v>PTO</v>
          </cell>
          <cell r="M5" t="str">
            <v>PTO</v>
          </cell>
          <cell r="N5" t="str">
            <v>PTO</v>
          </cell>
          <cell r="O5">
            <v>2</v>
          </cell>
          <cell r="P5">
            <v>1</v>
          </cell>
          <cell r="S5">
            <v>1</v>
          </cell>
          <cell r="T5">
            <v>3</v>
          </cell>
          <cell r="U5">
            <v>3</v>
          </cell>
          <cell r="V5">
            <v>1</v>
          </cell>
          <cell r="W5">
            <v>2</v>
          </cell>
          <cell r="Z5">
            <v>6</v>
          </cell>
          <cell r="AA5">
            <v>5</v>
          </cell>
          <cell r="AB5">
            <v>5</v>
          </cell>
          <cell r="AC5">
            <v>2</v>
          </cell>
          <cell r="AD5">
            <v>3</v>
          </cell>
        </row>
        <row r="6">
          <cell r="E6">
            <v>0</v>
          </cell>
          <cell r="F6">
            <v>0</v>
          </cell>
          <cell r="G6">
            <v>0</v>
          </cell>
          <cell r="H6">
            <v>0</v>
          </cell>
          <cell r="I6">
            <v>0</v>
          </cell>
          <cell r="L6">
            <v>0</v>
          </cell>
          <cell r="M6">
            <v>0</v>
          </cell>
          <cell r="N6">
            <v>0</v>
          </cell>
          <cell r="O6">
            <v>0</v>
          </cell>
          <cell r="P6">
            <v>0</v>
          </cell>
          <cell r="S6">
            <v>0</v>
          </cell>
          <cell r="T6">
            <v>0</v>
          </cell>
          <cell r="U6">
            <v>0</v>
          </cell>
          <cell r="V6">
            <v>0</v>
          </cell>
          <cell r="W6">
            <v>0</v>
          </cell>
          <cell r="Z6">
            <v>0</v>
          </cell>
          <cell r="AA6">
            <v>0</v>
          </cell>
          <cell r="AB6">
            <v>0</v>
          </cell>
          <cell r="AC6" t="str">
            <v>PTO</v>
          </cell>
          <cell r="AD6">
            <v>0</v>
          </cell>
        </row>
        <row r="7">
          <cell r="E7">
            <v>2.23</v>
          </cell>
          <cell r="F7" t="str">
            <v>PTO</v>
          </cell>
          <cell r="G7" t="str">
            <v>PTO</v>
          </cell>
          <cell r="H7">
            <v>2.2599999999999998</v>
          </cell>
          <cell r="I7">
            <v>2.39</v>
          </cell>
          <cell r="L7">
            <v>2.3199999999999998</v>
          </cell>
          <cell r="M7">
            <v>2.44</v>
          </cell>
          <cell r="N7">
            <v>2.21</v>
          </cell>
          <cell r="O7">
            <v>2.39</v>
          </cell>
          <cell r="P7">
            <v>3</v>
          </cell>
          <cell r="S7">
            <v>2.13</v>
          </cell>
          <cell r="T7">
            <v>2.8</v>
          </cell>
          <cell r="U7">
            <v>2.1</v>
          </cell>
          <cell r="V7">
            <v>2.2999999999999998</v>
          </cell>
          <cell r="W7">
            <v>3</v>
          </cell>
          <cell r="Z7">
            <v>2.2200000000000002</v>
          </cell>
          <cell r="AA7" t="str">
            <v>PTO</v>
          </cell>
          <cell r="AB7">
            <v>7.26</v>
          </cell>
          <cell r="AC7">
            <v>2.37</v>
          </cell>
          <cell r="AD7">
            <v>3.5</v>
          </cell>
        </row>
        <row r="8">
          <cell r="E8">
            <v>1.32</v>
          </cell>
          <cell r="F8">
            <v>3.41</v>
          </cell>
          <cell r="G8">
            <v>1.1100000000000001</v>
          </cell>
          <cell r="H8">
            <v>1.1000000000000001</v>
          </cell>
          <cell r="I8">
            <v>2.27</v>
          </cell>
          <cell r="L8" t="str">
            <v>PTO</v>
          </cell>
          <cell r="M8" t="str">
            <v>PTO</v>
          </cell>
          <cell r="N8" t="str">
            <v>PTO</v>
          </cell>
          <cell r="O8">
            <v>52.01</v>
          </cell>
          <cell r="P8">
            <v>1</v>
          </cell>
          <cell r="S8">
            <v>1</v>
          </cell>
          <cell r="T8">
            <v>1.26</v>
          </cell>
          <cell r="U8">
            <v>1.0900000000000001</v>
          </cell>
          <cell r="V8">
            <v>1.39</v>
          </cell>
          <cell r="W8">
            <v>4.59</v>
          </cell>
          <cell r="Z8">
            <v>3.8</v>
          </cell>
          <cell r="AA8">
            <v>4.7</v>
          </cell>
          <cell r="AB8">
            <v>2.11</v>
          </cell>
          <cell r="AC8">
            <v>1.55</v>
          </cell>
          <cell r="AD8">
            <v>2.17</v>
          </cell>
        </row>
        <row r="14">
          <cell r="C14">
            <v>0</v>
          </cell>
          <cell r="D14">
            <v>0</v>
          </cell>
          <cell r="E14">
            <v>0</v>
          </cell>
          <cell r="F14">
            <v>2</v>
          </cell>
          <cell r="G14">
            <v>2</v>
          </cell>
          <cell r="H14">
            <v>1</v>
          </cell>
          <cell r="J14">
            <v>0</v>
          </cell>
          <cell r="K14">
            <v>0</v>
          </cell>
          <cell r="L14">
            <v>4</v>
          </cell>
          <cell r="M14">
            <v>5</v>
          </cell>
          <cell r="N14">
            <v>3</v>
          </cell>
          <cell r="O14">
            <v>5</v>
          </cell>
          <cell r="P14">
            <v>2</v>
          </cell>
          <cell r="Q14">
            <v>0</v>
          </cell>
          <cell r="R14">
            <v>0</v>
          </cell>
          <cell r="S14">
            <v>4</v>
          </cell>
          <cell r="T14">
            <v>5</v>
          </cell>
          <cell r="U14">
            <v>8</v>
          </cell>
          <cell r="V14">
            <v>3</v>
          </cell>
          <cell r="W14">
            <v>2</v>
          </cell>
          <cell r="X14">
            <v>0</v>
          </cell>
          <cell r="Y14">
            <v>0</v>
          </cell>
          <cell r="AA14">
            <v>1</v>
          </cell>
          <cell r="AB14">
            <v>5</v>
          </cell>
          <cell r="AC14">
            <v>2</v>
          </cell>
          <cell r="AD14">
            <v>1</v>
          </cell>
        </row>
        <row r="15">
          <cell r="C15">
            <v>0</v>
          </cell>
          <cell r="D15">
            <v>0</v>
          </cell>
          <cell r="E15">
            <v>39</v>
          </cell>
          <cell r="F15">
            <v>43</v>
          </cell>
          <cell r="H15">
            <v>75</v>
          </cell>
          <cell r="J15">
            <v>0</v>
          </cell>
          <cell r="K15">
            <v>0</v>
          </cell>
          <cell r="L15">
            <v>47</v>
          </cell>
          <cell r="M15">
            <v>41</v>
          </cell>
          <cell r="N15">
            <v>44</v>
          </cell>
          <cell r="O15">
            <v>55</v>
          </cell>
          <cell r="P15">
            <v>53</v>
          </cell>
          <cell r="Q15">
            <v>0</v>
          </cell>
          <cell r="R15">
            <v>0</v>
          </cell>
          <cell r="S15">
            <v>67</v>
          </cell>
          <cell r="T15">
            <v>56</v>
          </cell>
          <cell r="U15">
            <v>49</v>
          </cell>
          <cell r="V15">
            <v>47</v>
          </cell>
          <cell r="W15">
            <v>57</v>
          </cell>
          <cell r="X15">
            <v>0</v>
          </cell>
          <cell r="Y15">
            <v>0</v>
          </cell>
          <cell r="Z15">
            <v>77</v>
          </cell>
          <cell r="AA15">
            <v>48</v>
          </cell>
          <cell r="AB15">
            <v>43</v>
          </cell>
          <cell r="AC15">
            <v>37</v>
          </cell>
          <cell r="AD15">
            <v>44</v>
          </cell>
        </row>
        <row r="16">
          <cell r="C16">
            <v>0</v>
          </cell>
          <cell r="D16">
            <v>0</v>
          </cell>
          <cell r="E16">
            <v>37</v>
          </cell>
          <cell r="F16">
            <v>43</v>
          </cell>
          <cell r="G16">
            <v>63</v>
          </cell>
          <cell r="H16">
            <v>73</v>
          </cell>
          <cell r="I16">
            <v>46</v>
          </cell>
          <cell r="J16">
            <v>0</v>
          </cell>
          <cell r="K16">
            <v>0</v>
          </cell>
          <cell r="L16">
            <v>46</v>
          </cell>
          <cell r="M16">
            <v>43</v>
          </cell>
          <cell r="N16">
            <v>42</v>
          </cell>
          <cell r="O16">
            <v>58</v>
          </cell>
          <cell r="P16">
            <v>51</v>
          </cell>
          <cell r="Q16">
            <v>0</v>
          </cell>
          <cell r="R16">
            <v>0</v>
          </cell>
          <cell r="S16">
            <v>66</v>
          </cell>
          <cell r="T16">
            <v>53</v>
          </cell>
          <cell r="U16">
            <v>54</v>
          </cell>
          <cell r="V16">
            <v>48</v>
          </cell>
          <cell r="W16">
            <v>57</v>
          </cell>
          <cell r="X16">
            <v>0</v>
          </cell>
          <cell r="Y16">
            <v>0</v>
          </cell>
          <cell r="Z16">
            <v>78</v>
          </cell>
          <cell r="AA16">
            <v>44</v>
          </cell>
          <cell r="AB16">
            <v>46</v>
          </cell>
          <cell r="AC16">
            <v>39</v>
          </cell>
          <cell r="AD16">
            <v>45</v>
          </cell>
        </row>
        <row r="17">
          <cell r="C17">
            <v>0</v>
          </cell>
          <cell r="D17">
            <v>0</v>
          </cell>
          <cell r="E17">
            <v>39</v>
          </cell>
          <cell r="F17">
            <v>45</v>
          </cell>
          <cell r="G17">
            <v>64</v>
          </cell>
          <cell r="H17">
            <v>76</v>
          </cell>
          <cell r="I17">
            <v>50</v>
          </cell>
          <cell r="J17">
            <v>0</v>
          </cell>
          <cell r="K17">
            <v>0</v>
          </cell>
          <cell r="L17">
            <v>51</v>
          </cell>
          <cell r="M17">
            <v>46</v>
          </cell>
          <cell r="N17">
            <v>47</v>
          </cell>
          <cell r="O17">
            <v>60</v>
          </cell>
          <cell r="P17">
            <v>55</v>
          </cell>
          <cell r="Q17">
            <v>0</v>
          </cell>
          <cell r="R17">
            <v>0</v>
          </cell>
          <cell r="S17">
            <v>71</v>
          </cell>
          <cell r="T17">
            <v>61</v>
          </cell>
          <cell r="U17">
            <v>57</v>
          </cell>
          <cell r="V17">
            <v>50</v>
          </cell>
          <cell r="W17">
            <v>59</v>
          </cell>
          <cell r="X17">
            <v>0</v>
          </cell>
          <cell r="Y17">
            <v>0</v>
          </cell>
          <cell r="Z17">
            <v>79</v>
          </cell>
          <cell r="AA17">
            <v>49</v>
          </cell>
          <cell r="AB17">
            <v>48</v>
          </cell>
          <cell r="AC17">
            <v>39</v>
          </cell>
          <cell r="AD17">
            <v>45</v>
          </cell>
        </row>
        <row r="18">
          <cell r="C18">
            <v>0</v>
          </cell>
          <cell r="D18">
            <v>0</v>
          </cell>
          <cell r="E18">
            <v>2</v>
          </cell>
          <cell r="F18">
            <v>2</v>
          </cell>
          <cell r="G18">
            <v>1</v>
          </cell>
          <cell r="H18">
            <v>3</v>
          </cell>
          <cell r="I18">
            <v>4</v>
          </cell>
          <cell r="J18">
            <v>0</v>
          </cell>
          <cell r="K18">
            <v>0</v>
          </cell>
          <cell r="L18">
            <v>5</v>
          </cell>
          <cell r="M18">
            <v>3</v>
          </cell>
          <cell r="N18">
            <v>5</v>
          </cell>
          <cell r="O18">
            <v>2</v>
          </cell>
          <cell r="P18">
            <v>4</v>
          </cell>
          <cell r="Q18">
            <v>0</v>
          </cell>
          <cell r="R18">
            <v>0</v>
          </cell>
          <cell r="S18">
            <v>5</v>
          </cell>
          <cell r="T18">
            <v>8</v>
          </cell>
          <cell r="U18">
            <v>3</v>
          </cell>
          <cell r="V18">
            <v>2</v>
          </cell>
          <cell r="W18">
            <v>2</v>
          </cell>
          <cell r="X18">
            <v>0</v>
          </cell>
          <cell r="Y18">
            <v>0</v>
          </cell>
          <cell r="Z18">
            <v>1</v>
          </cell>
          <cell r="AA18">
            <v>5</v>
          </cell>
          <cell r="AB18">
            <v>2</v>
          </cell>
          <cell r="AC18">
            <v>0</v>
          </cell>
          <cell r="AD18">
            <v>0</v>
          </cell>
        </row>
        <row r="27">
          <cell r="C27">
            <v>0</v>
          </cell>
          <cell r="D27">
            <v>0</v>
          </cell>
          <cell r="E27">
            <v>0</v>
          </cell>
          <cell r="F27">
            <v>0</v>
          </cell>
          <cell r="G27">
            <v>0</v>
          </cell>
          <cell r="H27">
            <v>0</v>
          </cell>
          <cell r="I27">
            <v>0</v>
          </cell>
          <cell r="J27">
            <v>0</v>
          </cell>
          <cell r="K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row>
        <row r="66">
          <cell r="B66">
            <v>0</v>
          </cell>
        </row>
        <row r="67">
          <cell r="B67">
            <v>0</v>
          </cell>
        </row>
        <row r="68">
          <cell r="B68">
            <v>0</v>
          </cell>
        </row>
      </sheetData>
      <sheetData sheetId="3">
        <row r="3">
          <cell r="E3">
            <v>11</v>
          </cell>
          <cell r="F3">
            <v>12</v>
          </cell>
          <cell r="G3">
            <v>9</v>
          </cell>
          <cell r="H3" t="str">
            <v>PTO</v>
          </cell>
          <cell r="I3" t="str">
            <v>PTO</v>
          </cell>
          <cell r="L3">
            <v>16</v>
          </cell>
          <cell r="M3">
            <v>11</v>
          </cell>
          <cell r="N3">
            <v>17</v>
          </cell>
          <cell r="O3">
            <v>8</v>
          </cell>
          <cell r="P3">
            <v>34</v>
          </cell>
          <cell r="S3">
            <v>18</v>
          </cell>
          <cell r="T3">
            <v>16</v>
          </cell>
          <cell r="U3">
            <v>15</v>
          </cell>
          <cell r="V3">
            <v>16</v>
          </cell>
          <cell r="W3">
            <v>16</v>
          </cell>
          <cell r="Z3">
            <v>14</v>
          </cell>
          <cell r="AA3">
            <v>10</v>
          </cell>
          <cell r="AB3">
            <v>10</v>
          </cell>
          <cell r="AC3">
            <v>3</v>
          </cell>
          <cell r="AD3">
            <v>10</v>
          </cell>
        </row>
        <row r="4">
          <cell r="E4">
            <v>29</v>
          </cell>
          <cell r="F4">
            <v>18</v>
          </cell>
          <cell r="G4">
            <v>14</v>
          </cell>
          <cell r="H4">
            <v>23</v>
          </cell>
          <cell r="I4">
            <v>24</v>
          </cell>
          <cell r="L4">
            <v>29</v>
          </cell>
          <cell r="M4">
            <v>26</v>
          </cell>
          <cell r="N4">
            <v>41</v>
          </cell>
          <cell r="O4">
            <v>15</v>
          </cell>
          <cell r="P4" t="str">
            <v>PTO</v>
          </cell>
          <cell r="S4">
            <v>27</v>
          </cell>
          <cell r="T4">
            <v>19</v>
          </cell>
          <cell r="U4">
            <v>20</v>
          </cell>
          <cell r="V4">
            <v>13</v>
          </cell>
          <cell r="W4">
            <v>24</v>
          </cell>
          <cell r="Z4">
            <v>28</v>
          </cell>
          <cell r="AA4">
            <v>23</v>
          </cell>
          <cell r="AB4">
            <v>15</v>
          </cell>
          <cell r="AC4">
            <v>14</v>
          </cell>
          <cell r="AD4">
            <v>18</v>
          </cell>
        </row>
        <row r="5">
          <cell r="E5">
            <v>3.5</v>
          </cell>
          <cell r="F5">
            <v>2.5099999999999998</v>
          </cell>
          <cell r="G5">
            <v>3.9</v>
          </cell>
          <cell r="H5" t="str">
            <v>PTO</v>
          </cell>
          <cell r="I5" t="str">
            <v>PTO</v>
          </cell>
          <cell r="L5">
            <v>4.2</v>
          </cell>
          <cell r="M5">
            <v>3.1</v>
          </cell>
          <cell r="N5">
            <v>3.34</v>
          </cell>
          <cell r="O5">
            <v>3.27</v>
          </cell>
          <cell r="P5">
            <v>3.8</v>
          </cell>
          <cell r="S5">
            <v>2.56</v>
          </cell>
          <cell r="T5">
            <v>3.1</v>
          </cell>
          <cell r="U5">
            <v>3.29</v>
          </cell>
          <cell r="V5">
            <v>2.5299999999999998</v>
          </cell>
          <cell r="W5">
            <v>3.9</v>
          </cell>
          <cell r="Z5">
            <v>2.31</v>
          </cell>
          <cell r="AA5">
            <v>4</v>
          </cell>
          <cell r="AB5">
            <v>3.36</v>
          </cell>
          <cell r="AC5">
            <v>3.8</v>
          </cell>
          <cell r="AD5">
            <v>3.34</v>
          </cell>
        </row>
        <row r="6">
          <cell r="E6">
            <v>2.4500000000000002</v>
          </cell>
          <cell r="F6">
            <v>3.5</v>
          </cell>
          <cell r="G6">
            <v>3.3</v>
          </cell>
          <cell r="H6">
            <v>2.44</v>
          </cell>
          <cell r="I6">
            <v>2.38</v>
          </cell>
          <cell r="L6">
            <v>2.34</v>
          </cell>
          <cell r="M6">
            <v>2.14</v>
          </cell>
          <cell r="N6">
            <v>2.42</v>
          </cell>
          <cell r="O6">
            <v>2.35</v>
          </cell>
          <cell r="P6" t="str">
            <v>PTO</v>
          </cell>
          <cell r="S6">
            <v>2.5099999999999998</v>
          </cell>
          <cell r="T6">
            <v>2.29</v>
          </cell>
          <cell r="U6">
            <v>2.54</v>
          </cell>
          <cell r="V6">
            <v>2.13</v>
          </cell>
          <cell r="W6">
            <v>2.4900000000000002</v>
          </cell>
          <cell r="Z6">
            <v>2.33</v>
          </cell>
          <cell r="AA6">
            <v>2.48</v>
          </cell>
          <cell r="AB6">
            <v>2.23</v>
          </cell>
          <cell r="AC6">
            <v>2.1</v>
          </cell>
          <cell r="AD6">
            <v>3.3</v>
          </cell>
        </row>
        <row r="22">
          <cell r="D22">
            <v>0</v>
          </cell>
          <cell r="E22">
            <v>1</v>
          </cell>
          <cell r="F22">
            <v>0</v>
          </cell>
          <cell r="G22">
            <v>0</v>
          </cell>
          <cell r="H22">
            <v>0</v>
          </cell>
          <cell r="I22">
            <v>0</v>
          </cell>
          <cell r="J22">
            <v>0</v>
          </cell>
          <cell r="K22">
            <v>0</v>
          </cell>
          <cell r="L22">
            <v>1</v>
          </cell>
          <cell r="M22">
            <v>0</v>
          </cell>
          <cell r="N22">
            <v>0</v>
          </cell>
          <cell r="O22">
            <v>0</v>
          </cell>
          <cell r="P22">
            <v>0</v>
          </cell>
          <cell r="Q22">
            <v>0</v>
          </cell>
          <cell r="R22">
            <v>0</v>
          </cell>
          <cell r="S22">
            <v>1</v>
          </cell>
          <cell r="T22">
            <v>0</v>
          </cell>
          <cell r="U22">
            <v>0</v>
          </cell>
          <cell r="V22">
            <v>0</v>
          </cell>
          <cell r="W22">
            <v>0</v>
          </cell>
          <cell r="X22">
            <v>0</v>
          </cell>
          <cell r="Y22">
            <v>0</v>
          </cell>
          <cell r="Z22">
            <v>1</v>
          </cell>
          <cell r="AA22">
            <v>0</v>
          </cell>
          <cell r="AB22">
            <v>0</v>
          </cell>
          <cell r="AC22">
            <v>0</v>
          </cell>
          <cell r="AD22">
            <v>0</v>
          </cell>
        </row>
        <row r="23">
          <cell r="C23">
            <v>0</v>
          </cell>
          <cell r="D23">
            <v>0</v>
          </cell>
          <cell r="E23">
            <v>4</v>
          </cell>
          <cell r="F23">
            <v>1</v>
          </cell>
          <cell r="G23">
            <v>0</v>
          </cell>
          <cell r="H23">
            <v>6</v>
          </cell>
          <cell r="I23">
            <v>4</v>
          </cell>
          <cell r="J23">
            <v>0</v>
          </cell>
          <cell r="K23">
            <v>0</v>
          </cell>
          <cell r="L23">
            <v>2</v>
          </cell>
          <cell r="M23">
            <v>1</v>
          </cell>
          <cell r="N23">
            <v>6</v>
          </cell>
          <cell r="O23">
            <v>1</v>
          </cell>
          <cell r="P23">
            <v>1</v>
          </cell>
          <cell r="Q23">
            <v>0</v>
          </cell>
          <cell r="R23">
            <v>0</v>
          </cell>
          <cell r="S23">
            <v>5</v>
          </cell>
          <cell r="T23">
            <v>0</v>
          </cell>
          <cell r="U23">
            <v>0</v>
          </cell>
          <cell r="V23">
            <v>4</v>
          </cell>
          <cell r="W23">
            <v>0</v>
          </cell>
          <cell r="X23">
            <v>0</v>
          </cell>
          <cell r="Y23">
            <v>0</v>
          </cell>
          <cell r="Z23">
            <v>3</v>
          </cell>
          <cell r="AA23">
            <v>1</v>
          </cell>
          <cell r="AB23">
            <v>1</v>
          </cell>
          <cell r="AC23">
            <v>0</v>
          </cell>
          <cell r="AD23">
            <v>1</v>
          </cell>
        </row>
        <row r="24">
          <cell r="C24">
            <v>0</v>
          </cell>
          <cell r="D24">
            <v>0</v>
          </cell>
          <cell r="E24">
            <v>4</v>
          </cell>
          <cell r="F24">
            <v>1</v>
          </cell>
          <cell r="G24">
            <v>0</v>
          </cell>
          <cell r="H24">
            <v>6</v>
          </cell>
          <cell r="I24">
            <v>4</v>
          </cell>
          <cell r="J24">
            <v>0</v>
          </cell>
          <cell r="K24">
            <v>0</v>
          </cell>
          <cell r="L24">
            <v>2</v>
          </cell>
          <cell r="M24">
            <v>7</v>
          </cell>
          <cell r="N24">
            <v>6</v>
          </cell>
          <cell r="O24">
            <v>1</v>
          </cell>
          <cell r="P24">
            <v>1</v>
          </cell>
          <cell r="Q24">
            <v>0</v>
          </cell>
          <cell r="R24">
            <v>0</v>
          </cell>
          <cell r="S24">
            <v>5</v>
          </cell>
          <cell r="T24">
            <v>0</v>
          </cell>
          <cell r="U24">
            <v>2</v>
          </cell>
          <cell r="V24">
            <v>4</v>
          </cell>
          <cell r="W24">
            <v>0</v>
          </cell>
          <cell r="X24">
            <v>0</v>
          </cell>
          <cell r="Y24">
            <v>0</v>
          </cell>
          <cell r="Z24">
            <v>3</v>
          </cell>
          <cell r="AA24">
            <v>1</v>
          </cell>
          <cell r="AB24">
            <v>2</v>
          </cell>
          <cell r="AC24">
            <v>1</v>
          </cell>
          <cell r="AD24">
            <v>1</v>
          </cell>
        </row>
        <row r="25">
          <cell r="C25">
            <v>0</v>
          </cell>
          <cell r="D25">
            <v>0</v>
          </cell>
          <cell r="E25">
            <v>10</v>
          </cell>
          <cell r="F25">
            <v>12</v>
          </cell>
          <cell r="G25">
            <v>26</v>
          </cell>
          <cell r="H25">
            <v>14</v>
          </cell>
          <cell r="I25">
            <v>10</v>
          </cell>
          <cell r="J25">
            <v>0</v>
          </cell>
          <cell r="K25">
            <v>0</v>
          </cell>
          <cell r="L25">
            <v>8</v>
          </cell>
          <cell r="M25">
            <v>32</v>
          </cell>
          <cell r="N25">
            <v>16</v>
          </cell>
          <cell r="O25">
            <v>30</v>
          </cell>
          <cell r="P25">
            <v>36</v>
          </cell>
          <cell r="Q25">
            <v>0</v>
          </cell>
          <cell r="R25">
            <v>0</v>
          </cell>
          <cell r="S25">
            <v>32</v>
          </cell>
          <cell r="T25">
            <v>12</v>
          </cell>
          <cell r="U25">
            <v>0</v>
          </cell>
          <cell r="V25">
            <v>54</v>
          </cell>
          <cell r="W25">
            <v>20</v>
          </cell>
          <cell r="X25">
            <v>0</v>
          </cell>
          <cell r="Y25">
            <v>0</v>
          </cell>
          <cell r="Z25">
            <v>18</v>
          </cell>
          <cell r="AA25">
            <v>18</v>
          </cell>
          <cell r="AB25">
            <v>48</v>
          </cell>
          <cell r="AC25">
            <v>35</v>
          </cell>
          <cell r="AD25">
            <v>18</v>
          </cell>
        </row>
        <row r="26">
          <cell r="C26">
            <v>0</v>
          </cell>
          <cell r="D26">
            <v>0</v>
          </cell>
          <cell r="E26">
            <v>5</v>
          </cell>
          <cell r="F26">
            <v>6</v>
          </cell>
          <cell r="G26">
            <v>13</v>
          </cell>
          <cell r="H26">
            <v>7</v>
          </cell>
          <cell r="I26">
            <v>5</v>
          </cell>
          <cell r="J26">
            <v>0</v>
          </cell>
          <cell r="K26">
            <v>0</v>
          </cell>
          <cell r="L26">
            <v>4</v>
          </cell>
          <cell r="M26">
            <v>16</v>
          </cell>
          <cell r="N26">
            <v>8</v>
          </cell>
          <cell r="O26">
            <v>15</v>
          </cell>
          <cell r="P26">
            <v>18</v>
          </cell>
          <cell r="Q26">
            <v>0</v>
          </cell>
          <cell r="R26">
            <v>0</v>
          </cell>
          <cell r="S26">
            <v>16</v>
          </cell>
          <cell r="T26">
            <v>6</v>
          </cell>
          <cell r="U26">
            <v>0</v>
          </cell>
          <cell r="V26">
            <v>27</v>
          </cell>
          <cell r="W26">
            <v>10</v>
          </cell>
          <cell r="X26">
            <v>0</v>
          </cell>
          <cell r="Y26">
            <v>0</v>
          </cell>
          <cell r="Z26">
            <v>9</v>
          </cell>
          <cell r="AA26">
            <v>9</v>
          </cell>
          <cell r="AB26">
            <v>24</v>
          </cell>
          <cell r="AC26">
            <v>17</v>
          </cell>
          <cell r="AD26">
            <v>9</v>
          </cell>
        </row>
        <row r="27">
          <cell r="C27">
            <v>0</v>
          </cell>
          <cell r="D27">
            <v>0</v>
          </cell>
          <cell r="E27">
            <v>89</v>
          </cell>
          <cell r="F27">
            <v>32</v>
          </cell>
          <cell r="G27">
            <v>143</v>
          </cell>
          <cell r="H27">
            <v>14</v>
          </cell>
          <cell r="I27">
            <v>39</v>
          </cell>
          <cell r="J27">
            <v>0</v>
          </cell>
          <cell r="K27">
            <v>0</v>
          </cell>
          <cell r="L27">
            <v>0</v>
          </cell>
          <cell r="M27">
            <v>127</v>
          </cell>
          <cell r="N27">
            <v>75</v>
          </cell>
          <cell r="O27">
            <v>0</v>
          </cell>
          <cell r="P27">
            <v>0</v>
          </cell>
          <cell r="Q27">
            <v>0</v>
          </cell>
          <cell r="R27">
            <v>0</v>
          </cell>
          <cell r="S27">
            <v>227</v>
          </cell>
          <cell r="T27">
            <v>79</v>
          </cell>
          <cell r="U27">
            <v>0</v>
          </cell>
          <cell r="V27">
            <v>127</v>
          </cell>
          <cell r="W27">
            <v>42</v>
          </cell>
          <cell r="X27">
            <v>0</v>
          </cell>
          <cell r="Y27">
            <v>0</v>
          </cell>
          <cell r="Z27">
            <v>154</v>
          </cell>
          <cell r="AA27">
            <v>102</v>
          </cell>
          <cell r="AB27">
            <v>51</v>
          </cell>
          <cell r="AC27">
            <v>142</v>
          </cell>
          <cell r="AD27">
            <v>56</v>
          </cell>
        </row>
        <row r="28">
          <cell r="C28">
            <v>0</v>
          </cell>
          <cell r="D28">
            <v>0</v>
          </cell>
          <cell r="E28">
            <v>4</v>
          </cell>
          <cell r="F28">
            <v>3</v>
          </cell>
          <cell r="G28">
            <v>7</v>
          </cell>
          <cell r="H28">
            <v>3</v>
          </cell>
          <cell r="I28">
            <v>4</v>
          </cell>
          <cell r="J28">
            <v>0</v>
          </cell>
          <cell r="K28">
            <v>0</v>
          </cell>
          <cell r="L28">
            <v>1</v>
          </cell>
          <cell r="M28">
            <v>12</v>
          </cell>
          <cell r="N28">
            <v>6</v>
          </cell>
          <cell r="O28">
            <v>19</v>
          </cell>
          <cell r="P28">
            <v>11</v>
          </cell>
          <cell r="Q28">
            <v>0</v>
          </cell>
          <cell r="R28">
            <v>0</v>
          </cell>
          <cell r="S28">
            <v>12</v>
          </cell>
          <cell r="T28">
            <v>7</v>
          </cell>
          <cell r="U28">
            <v>1</v>
          </cell>
          <cell r="V28">
            <v>19</v>
          </cell>
          <cell r="W28">
            <v>4</v>
          </cell>
          <cell r="X28">
            <v>0</v>
          </cell>
          <cell r="Y28">
            <v>0</v>
          </cell>
          <cell r="Z28">
            <v>13</v>
          </cell>
          <cell r="AA28">
            <v>11</v>
          </cell>
          <cell r="AB28">
            <v>18</v>
          </cell>
          <cell r="AC28">
            <v>18</v>
          </cell>
          <cell r="AD28">
            <v>5</v>
          </cell>
        </row>
        <row r="29">
          <cell r="C29">
            <v>0</v>
          </cell>
          <cell r="D29">
            <v>0</v>
          </cell>
          <cell r="E29">
            <v>6</v>
          </cell>
          <cell r="F29">
            <v>4</v>
          </cell>
          <cell r="G29">
            <v>10</v>
          </cell>
          <cell r="H29">
            <v>0</v>
          </cell>
          <cell r="I29">
            <v>4</v>
          </cell>
          <cell r="J29">
            <v>0</v>
          </cell>
          <cell r="K29">
            <v>0</v>
          </cell>
          <cell r="L29">
            <v>2</v>
          </cell>
          <cell r="M29">
            <v>20</v>
          </cell>
          <cell r="N29">
            <v>8</v>
          </cell>
          <cell r="O29">
            <v>2</v>
          </cell>
          <cell r="P29">
            <v>4</v>
          </cell>
          <cell r="Q29">
            <v>0</v>
          </cell>
          <cell r="R29">
            <v>0</v>
          </cell>
          <cell r="S29">
            <v>8</v>
          </cell>
          <cell r="T29">
            <v>0</v>
          </cell>
          <cell r="U29">
            <v>0</v>
          </cell>
          <cell r="V29">
            <v>7</v>
          </cell>
          <cell r="W29">
            <v>10</v>
          </cell>
          <cell r="X29">
            <v>0</v>
          </cell>
          <cell r="Y29">
            <v>0</v>
          </cell>
          <cell r="Z29">
            <v>6</v>
          </cell>
          <cell r="AA29">
            <v>1</v>
          </cell>
          <cell r="AB29">
            <v>7</v>
          </cell>
          <cell r="AC29">
            <v>52</v>
          </cell>
          <cell r="AD29">
            <v>5</v>
          </cell>
        </row>
        <row r="66">
          <cell r="B66">
            <v>1456</v>
          </cell>
        </row>
      </sheetData>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Volume"/>
      <sheetName val="AA"/>
      <sheetName val="PS"/>
      <sheetName val="AR"/>
      <sheetName val="CB"/>
      <sheetName val="SR"/>
      <sheetName val="AP"/>
      <sheetName val="PR"/>
      <sheetName val="SR Utilization"/>
      <sheetName val="GA"/>
      <sheetName val="SLA"/>
      <sheetName val="SLA WW"/>
      <sheetName val="S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H3">
            <v>706</v>
          </cell>
        </row>
        <row r="4">
          <cell r="H4">
            <v>706</v>
          </cell>
        </row>
        <row r="5">
          <cell r="H5">
            <v>12629</v>
          </cell>
        </row>
        <row r="6">
          <cell r="H6">
            <v>12629</v>
          </cell>
        </row>
        <row r="7">
          <cell r="H7">
            <v>706</v>
          </cell>
        </row>
        <row r="8">
          <cell r="H8">
            <v>706</v>
          </cell>
        </row>
        <row r="9">
          <cell r="H9">
            <v>661</v>
          </cell>
        </row>
        <row r="11">
          <cell r="H11">
            <v>661</v>
          </cell>
        </row>
        <row r="13">
          <cell r="H13">
            <v>1146</v>
          </cell>
        </row>
        <row r="14">
          <cell r="H14">
            <v>1165</v>
          </cell>
        </row>
        <row r="15">
          <cell r="H15">
            <v>1157</v>
          </cell>
        </row>
        <row r="17">
          <cell r="H17">
            <v>1165</v>
          </cell>
        </row>
        <row r="18">
          <cell r="H18">
            <v>5788</v>
          </cell>
        </row>
        <row r="19">
          <cell r="H19">
            <v>5788</v>
          </cell>
        </row>
        <row r="20">
          <cell r="H20">
            <v>556</v>
          </cell>
        </row>
        <row r="21">
          <cell r="H21">
            <v>556</v>
          </cell>
        </row>
      </sheetData>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 up Plan"/>
      <sheetName val="Volume"/>
      <sheetName val="SLA"/>
      <sheetName val="SM"/>
      <sheetName val="AP"/>
      <sheetName val="Silver Rock"/>
      <sheetName val="RC Audit"/>
      <sheetName val="Central Services"/>
      <sheetName val="AR"/>
      <sheetName val="PCF"/>
      <sheetName val="PCF Review"/>
      <sheetName val="Payment Research"/>
      <sheetName val="Phone Support"/>
      <sheetName val="Cash Balancing"/>
      <sheetName val="GA"/>
      <sheetName val="Sheet2"/>
      <sheetName val="Sheet1"/>
    </sheetNames>
    <sheetDataSet>
      <sheetData sheetId="0" refreshError="1"/>
      <sheetData sheetId="1" refreshError="1">
        <row r="5">
          <cell r="L5">
            <v>1281</v>
          </cell>
        </row>
        <row r="6">
          <cell r="L6">
            <v>902</v>
          </cell>
        </row>
        <row r="14">
          <cell r="L14">
            <v>578</v>
          </cell>
        </row>
        <row r="22">
          <cell r="L22">
            <v>3639</v>
          </cell>
        </row>
        <row r="27">
          <cell r="L27">
            <v>999</v>
          </cell>
        </row>
      </sheetData>
      <sheetData sheetId="2" refreshError="1"/>
      <sheetData sheetId="3" refreshError="1"/>
      <sheetData sheetId="4" refreshError="1"/>
      <sheetData sheetId="5" refreshError="1">
        <row r="9">
          <cell r="AA9">
            <v>14326</v>
          </cell>
          <cell r="AD9">
            <v>6</v>
          </cell>
        </row>
      </sheetData>
      <sheetData sheetId="6" refreshError="1"/>
      <sheetData sheetId="7" refreshError="1">
        <row r="10">
          <cell r="Z10">
            <v>598</v>
          </cell>
        </row>
        <row r="11">
          <cell r="Z11">
            <v>83</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 up Plan"/>
      <sheetName val="Volume"/>
      <sheetName val="SLA"/>
      <sheetName val="SM"/>
      <sheetName val="AP"/>
      <sheetName val="Silver Rock"/>
      <sheetName val="RC Audit"/>
      <sheetName val="Central Services"/>
      <sheetName val="AR"/>
      <sheetName val="PCF"/>
      <sheetName val="PCF Review"/>
      <sheetName val="Payment Research"/>
      <sheetName val="Phone Support"/>
      <sheetName val="Cash Balancing"/>
      <sheetName val="GA"/>
      <sheetName val="Sheet2"/>
      <sheetName val="Sheet1"/>
    </sheetNames>
    <sheetDataSet>
      <sheetData sheetId="0" refreshError="1"/>
      <sheetData sheetId="1" refreshError="1"/>
      <sheetData sheetId="2" refreshError="1"/>
      <sheetData sheetId="3" refreshError="1"/>
      <sheetData sheetId="4" refreshError="1">
        <row r="26">
          <cell r="Y26">
            <v>636</v>
          </cell>
        </row>
      </sheetData>
      <sheetData sheetId="5" refreshError="1">
        <row r="9">
          <cell r="AC9">
            <v>14171</v>
          </cell>
          <cell r="AF9">
            <v>11</v>
          </cell>
        </row>
      </sheetData>
      <sheetData sheetId="6" refreshError="1"/>
      <sheetData sheetId="7" refreshError="1"/>
      <sheetData sheetId="8" refreshError="1">
        <row r="26">
          <cell r="Y26">
            <v>701</v>
          </cell>
        </row>
      </sheetData>
      <sheetData sheetId="9" refreshError="1"/>
      <sheetData sheetId="10" refreshError="1"/>
      <sheetData sheetId="11" refreshError="1"/>
      <sheetData sheetId="12" refreshError="1">
        <row r="23">
          <cell r="B23">
            <v>1415</v>
          </cell>
        </row>
        <row r="24">
          <cell r="B24">
            <v>26</v>
          </cell>
        </row>
        <row r="25">
          <cell r="B25">
            <v>4</v>
          </cell>
        </row>
      </sheetData>
      <sheetData sheetId="13" refreshError="1">
        <row r="10">
          <cell r="Z10">
            <v>4122</v>
          </cell>
        </row>
      </sheetData>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Volume"/>
      <sheetName val="CFM -Feb"/>
      <sheetName val="AA"/>
      <sheetName val="PS"/>
      <sheetName val="AR"/>
      <sheetName val="CB"/>
      <sheetName val="RC"/>
      <sheetName val="SR"/>
      <sheetName val="AP"/>
      <sheetName val="PR"/>
      <sheetName val="SR Utilization"/>
      <sheetName val="SLA"/>
      <sheetName val="SLA WW"/>
      <sheetName val="Shrinkage"/>
      <sheetName val="SM"/>
      <sheetName val="PTOS"/>
      <sheetName val="GA R"/>
      <sheetName val="GR P"/>
      <sheetName val="FA"/>
      <sheetName val="F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3">
          <cell r="H3">
            <v>725</v>
          </cell>
        </row>
        <row r="4">
          <cell r="H4">
            <v>725</v>
          </cell>
        </row>
        <row r="5">
          <cell r="H5">
            <v>14051</v>
          </cell>
        </row>
        <row r="6">
          <cell r="H6">
            <v>14055</v>
          </cell>
        </row>
        <row r="7">
          <cell r="H7">
            <v>725</v>
          </cell>
        </row>
        <row r="8">
          <cell r="H8">
            <v>725</v>
          </cell>
        </row>
        <row r="13">
          <cell r="H13">
            <v>1297</v>
          </cell>
        </row>
        <row r="14">
          <cell r="H14">
            <v>1318</v>
          </cell>
        </row>
        <row r="18">
          <cell r="H18">
            <v>5484</v>
          </cell>
        </row>
        <row r="19">
          <cell r="H19">
            <v>5484</v>
          </cell>
        </row>
        <row r="20">
          <cell r="H20">
            <v>716</v>
          </cell>
        </row>
        <row r="21">
          <cell r="H21">
            <v>716</v>
          </cell>
        </row>
      </sheetData>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Volume"/>
      <sheetName val="AA"/>
      <sheetName val="PS"/>
      <sheetName val="AR"/>
      <sheetName val="CB"/>
      <sheetName val="RC"/>
      <sheetName val="SR"/>
      <sheetName val="AP"/>
      <sheetName val="PR"/>
      <sheetName val="SR Utilization"/>
      <sheetName val="SLA"/>
      <sheetName val="SLA WW"/>
      <sheetName val="SM"/>
      <sheetName val="G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H3">
            <v>901</v>
          </cell>
        </row>
        <row r="4">
          <cell r="H4">
            <v>901</v>
          </cell>
        </row>
        <row r="5">
          <cell r="H5">
            <v>12032</v>
          </cell>
        </row>
        <row r="6">
          <cell r="H6">
            <v>12032</v>
          </cell>
        </row>
        <row r="7">
          <cell r="H7">
            <v>901</v>
          </cell>
        </row>
        <row r="8">
          <cell r="H8">
            <v>901</v>
          </cell>
        </row>
        <row r="9">
          <cell r="H9">
            <v>623</v>
          </cell>
        </row>
        <row r="11">
          <cell r="H11">
            <v>623</v>
          </cell>
        </row>
        <row r="13">
          <cell r="H13">
            <v>1315</v>
          </cell>
        </row>
        <row r="14">
          <cell r="H14">
            <v>1319</v>
          </cell>
        </row>
        <row r="15">
          <cell r="H15">
            <v>1319</v>
          </cell>
        </row>
        <row r="17">
          <cell r="H17">
            <v>1319</v>
          </cell>
        </row>
        <row r="18">
          <cell r="H18">
            <v>4418</v>
          </cell>
        </row>
        <row r="19">
          <cell r="H19">
            <v>4418</v>
          </cell>
        </row>
        <row r="20">
          <cell r="H20">
            <v>476</v>
          </cell>
        </row>
        <row r="21">
          <cell r="H21">
            <v>476</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Volume"/>
      <sheetName val="AA"/>
      <sheetName val="PS"/>
      <sheetName val="AR"/>
      <sheetName val="CB"/>
      <sheetName val="RC"/>
      <sheetName val="SR"/>
      <sheetName val="AP"/>
      <sheetName val="PR"/>
      <sheetName val="SR Utilization"/>
      <sheetName val="SLA"/>
      <sheetName val="SLA WW"/>
      <sheetName val="SM"/>
      <sheetName val="GA"/>
      <sheetName val="Shrinkag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
          <cell r="H3">
            <v>808</v>
          </cell>
        </row>
        <row r="4">
          <cell r="H4">
            <v>808</v>
          </cell>
        </row>
        <row r="5">
          <cell r="H5">
            <v>13575</v>
          </cell>
        </row>
        <row r="6">
          <cell r="H6">
            <v>13575</v>
          </cell>
        </row>
        <row r="7">
          <cell r="H7">
            <v>808</v>
          </cell>
        </row>
        <row r="8">
          <cell r="H8">
            <v>808</v>
          </cell>
        </row>
        <row r="9">
          <cell r="H9">
            <v>707</v>
          </cell>
        </row>
        <row r="11">
          <cell r="H11">
            <v>707</v>
          </cell>
        </row>
        <row r="13">
          <cell r="H13">
            <v>1355</v>
          </cell>
        </row>
        <row r="14">
          <cell r="H14">
            <v>1372</v>
          </cell>
        </row>
        <row r="15">
          <cell r="H15">
            <v>1372</v>
          </cell>
        </row>
        <row r="17">
          <cell r="H17">
            <v>1372</v>
          </cell>
        </row>
        <row r="18">
          <cell r="H18">
            <v>4302</v>
          </cell>
        </row>
        <row r="19">
          <cell r="H19">
            <v>4302</v>
          </cell>
        </row>
        <row r="20">
          <cell r="H20">
            <v>529</v>
          </cell>
        </row>
        <row r="21">
          <cell r="H21">
            <v>529</v>
          </cell>
        </row>
      </sheetData>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shboard"/>
      <sheetName val="Electronic Payment"/>
      <sheetName val="Auction Repo"/>
      <sheetName val="Online Decision"/>
      <sheetName val="PCF Processing"/>
      <sheetName val="OP Research Refund"/>
      <sheetName val="PCF Review"/>
      <sheetName val="Wells Fargo Audit"/>
      <sheetName val="Additional Task"/>
      <sheetName val="Learning Opportunity"/>
      <sheetName val="Team Structure"/>
      <sheetName val="SOP Status"/>
    </sheetNames>
    <sheetDataSet>
      <sheetData sheetId="0" refreshError="1"/>
      <sheetData sheetId="1">
        <row r="32">
          <cell r="C32">
            <v>0</v>
          </cell>
        </row>
        <row r="44">
          <cell r="C44">
            <v>0</v>
          </cell>
        </row>
        <row r="68">
          <cell r="C68">
            <v>0</v>
          </cell>
        </row>
        <row r="80">
          <cell r="C80">
            <v>0</v>
          </cell>
        </row>
        <row r="92">
          <cell r="C92">
            <v>0</v>
          </cell>
        </row>
        <row r="104">
          <cell r="C104">
            <v>0</v>
          </cell>
        </row>
        <row r="116">
          <cell r="C116">
            <v>267</v>
          </cell>
        </row>
        <row r="128">
          <cell r="C128">
            <v>262</v>
          </cell>
        </row>
        <row r="140">
          <cell r="C140">
            <v>0</v>
          </cell>
        </row>
        <row r="152">
          <cell r="C152">
            <v>0</v>
          </cell>
        </row>
        <row r="164">
          <cell r="C164">
            <v>0</v>
          </cell>
        </row>
      </sheetData>
      <sheetData sheetId="2">
        <row r="25">
          <cell r="C25">
            <v>0</v>
          </cell>
        </row>
        <row r="26">
          <cell r="C26">
            <v>0</v>
          </cell>
        </row>
        <row r="27">
          <cell r="C27">
            <v>0</v>
          </cell>
        </row>
        <row r="28">
          <cell r="C28">
            <v>0</v>
          </cell>
        </row>
        <row r="29">
          <cell r="C29">
            <v>0</v>
          </cell>
        </row>
        <row r="30">
          <cell r="C30">
            <v>0</v>
          </cell>
        </row>
        <row r="31">
          <cell r="C31">
            <v>0</v>
          </cell>
        </row>
        <row r="36">
          <cell r="C36">
            <v>0</v>
          </cell>
        </row>
        <row r="37">
          <cell r="C37">
            <v>0</v>
          </cell>
        </row>
        <row r="38">
          <cell r="C38">
            <v>0</v>
          </cell>
        </row>
        <row r="39">
          <cell r="C39">
            <v>0</v>
          </cell>
        </row>
        <row r="40">
          <cell r="C40">
            <v>0</v>
          </cell>
        </row>
        <row r="41">
          <cell r="C41">
            <v>0</v>
          </cell>
        </row>
        <row r="42">
          <cell r="C42">
            <v>0</v>
          </cell>
        </row>
        <row r="58">
          <cell r="C58">
            <v>0</v>
          </cell>
        </row>
        <row r="59">
          <cell r="C59">
            <v>0</v>
          </cell>
        </row>
        <row r="60">
          <cell r="C60">
            <v>0</v>
          </cell>
        </row>
        <row r="61">
          <cell r="C61">
            <v>0</v>
          </cell>
        </row>
        <row r="62">
          <cell r="C62">
            <v>0</v>
          </cell>
        </row>
        <row r="63">
          <cell r="C63">
            <v>0</v>
          </cell>
        </row>
        <row r="64">
          <cell r="C64">
            <v>0</v>
          </cell>
        </row>
        <row r="69">
          <cell r="C69">
            <v>0</v>
          </cell>
        </row>
        <row r="70">
          <cell r="C70">
            <v>335</v>
          </cell>
        </row>
        <row r="71">
          <cell r="C71">
            <v>64</v>
          </cell>
        </row>
        <row r="72">
          <cell r="C72">
            <v>336</v>
          </cell>
        </row>
        <row r="73">
          <cell r="C73">
            <v>117</v>
          </cell>
        </row>
        <row r="74">
          <cell r="C74">
            <v>2</v>
          </cell>
        </row>
        <row r="75">
          <cell r="C75">
            <v>1030</v>
          </cell>
        </row>
        <row r="80">
          <cell r="C80">
            <v>0</v>
          </cell>
        </row>
        <row r="81">
          <cell r="C81">
            <v>0</v>
          </cell>
        </row>
        <row r="82">
          <cell r="C82">
            <v>0</v>
          </cell>
        </row>
        <row r="83">
          <cell r="C83">
            <v>0</v>
          </cell>
        </row>
        <row r="84">
          <cell r="C84">
            <v>0</v>
          </cell>
        </row>
        <row r="85">
          <cell r="C85">
            <v>0</v>
          </cell>
        </row>
        <row r="86">
          <cell r="C86">
            <v>0</v>
          </cell>
        </row>
        <row r="91">
          <cell r="C91">
            <v>4702</v>
          </cell>
        </row>
        <row r="92">
          <cell r="C92">
            <v>0</v>
          </cell>
        </row>
        <row r="93">
          <cell r="C93">
            <v>0</v>
          </cell>
        </row>
        <row r="94">
          <cell r="C94">
            <v>0</v>
          </cell>
        </row>
        <row r="95">
          <cell r="C95">
            <v>0</v>
          </cell>
        </row>
        <row r="96">
          <cell r="C96">
            <v>0</v>
          </cell>
        </row>
        <row r="97">
          <cell r="C97">
            <v>0</v>
          </cell>
        </row>
        <row r="102">
          <cell r="C102">
            <v>0</v>
          </cell>
        </row>
        <row r="103">
          <cell r="C103">
            <v>0</v>
          </cell>
        </row>
        <row r="104">
          <cell r="C104">
            <v>0</v>
          </cell>
        </row>
        <row r="105">
          <cell r="C105">
            <v>0</v>
          </cell>
        </row>
        <row r="106">
          <cell r="C106">
            <v>0</v>
          </cell>
        </row>
        <row r="107">
          <cell r="C107">
            <v>0</v>
          </cell>
        </row>
        <row r="108">
          <cell r="C108">
            <v>0</v>
          </cell>
        </row>
        <row r="113">
          <cell r="C113">
            <v>0</v>
          </cell>
        </row>
        <row r="114">
          <cell r="C114">
            <v>0</v>
          </cell>
        </row>
        <row r="115">
          <cell r="C115">
            <v>0</v>
          </cell>
        </row>
        <row r="116">
          <cell r="C116">
            <v>0</v>
          </cell>
        </row>
        <row r="117">
          <cell r="C117">
            <v>0</v>
          </cell>
        </row>
        <row r="118">
          <cell r="C118">
            <v>0</v>
          </cell>
        </row>
        <row r="119">
          <cell r="C119">
            <v>0</v>
          </cell>
        </row>
        <row r="124">
          <cell r="C124">
            <v>0</v>
          </cell>
        </row>
        <row r="125">
          <cell r="C125">
            <v>0</v>
          </cell>
        </row>
        <row r="126">
          <cell r="C126">
            <v>0</v>
          </cell>
        </row>
        <row r="127">
          <cell r="C127">
            <v>0</v>
          </cell>
        </row>
        <row r="128">
          <cell r="C128">
            <v>0</v>
          </cell>
        </row>
        <row r="129">
          <cell r="C129">
            <v>0</v>
          </cell>
        </row>
        <row r="130">
          <cell r="C130">
            <v>0</v>
          </cell>
        </row>
        <row r="135">
          <cell r="C135">
            <v>0</v>
          </cell>
        </row>
        <row r="136">
          <cell r="C136">
            <v>0</v>
          </cell>
        </row>
        <row r="137">
          <cell r="C137">
            <v>0</v>
          </cell>
        </row>
        <row r="138">
          <cell r="C138">
            <v>0</v>
          </cell>
        </row>
        <row r="139">
          <cell r="C139">
            <v>0</v>
          </cell>
        </row>
        <row r="140">
          <cell r="C140">
            <v>0</v>
          </cell>
        </row>
        <row r="141">
          <cell r="C141">
            <v>0</v>
          </cell>
        </row>
        <row r="146">
          <cell r="C146">
            <v>0</v>
          </cell>
        </row>
        <row r="147">
          <cell r="C147">
            <v>0</v>
          </cell>
        </row>
        <row r="148">
          <cell r="C148">
            <v>0</v>
          </cell>
        </row>
        <row r="149">
          <cell r="C149">
            <v>0</v>
          </cell>
        </row>
        <row r="150">
          <cell r="C150">
            <v>0</v>
          </cell>
        </row>
        <row r="151">
          <cell r="C151">
            <v>0</v>
          </cell>
        </row>
        <row r="152">
          <cell r="C152">
            <v>0</v>
          </cell>
        </row>
      </sheetData>
      <sheetData sheetId="3">
        <row r="26">
          <cell r="C26">
            <v>0</v>
          </cell>
        </row>
        <row r="27">
          <cell r="C27">
            <v>0</v>
          </cell>
        </row>
        <row r="37">
          <cell r="C37">
            <v>0</v>
          </cell>
        </row>
        <row r="38">
          <cell r="C38">
            <v>0</v>
          </cell>
        </row>
        <row r="59">
          <cell r="C59">
            <v>47</v>
          </cell>
        </row>
        <row r="60">
          <cell r="C60">
            <v>3</v>
          </cell>
        </row>
        <row r="70">
          <cell r="C70">
            <v>0</v>
          </cell>
        </row>
        <row r="71">
          <cell r="C71">
            <v>0</v>
          </cell>
        </row>
        <row r="81">
          <cell r="C81">
            <v>0</v>
          </cell>
        </row>
        <row r="82">
          <cell r="C82">
            <v>0</v>
          </cell>
        </row>
        <row r="92">
          <cell r="C92">
            <v>23</v>
          </cell>
        </row>
        <row r="93">
          <cell r="C93">
            <v>4</v>
          </cell>
        </row>
        <row r="103">
          <cell r="C103">
            <v>2105</v>
          </cell>
        </row>
        <row r="104">
          <cell r="C104">
            <v>89</v>
          </cell>
        </row>
        <row r="114">
          <cell r="C114">
            <v>0</v>
          </cell>
        </row>
        <row r="115">
          <cell r="C115">
            <v>0</v>
          </cell>
        </row>
        <row r="125">
          <cell r="C125">
            <v>0</v>
          </cell>
        </row>
        <row r="126">
          <cell r="C126">
            <v>0</v>
          </cell>
        </row>
        <row r="136">
          <cell r="C136">
            <v>0</v>
          </cell>
        </row>
        <row r="137">
          <cell r="C137">
            <v>0</v>
          </cell>
        </row>
        <row r="147">
          <cell r="C147">
            <v>0</v>
          </cell>
        </row>
        <row r="148">
          <cell r="C148">
            <v>0</v>
          </cell>
        </row>
      </sheetData>
      <sheetData sheetId="4">
        <row r="27">
          <cell r="C27">
            <v>0</v>
          </cell>
          <cell r="D27">
            <v>0</v>
          </cell>
        </row>
        <row r="37">
          <cell r="C37">
            <v>0</v>
          </cell>
          <cell r="D37">
            <v>0</v>
          </cell>
        </row>
        <row r="57">
          <cell r="C57">
            <v>1546</v>
          </cell>
          <cell r="D57">
            <v>0</v>
          </cell>
        </row>
        <row r="67">
          <cell r="C67">
            <v>0</v>
          </cell>
          <cell r="D67">
            <v>0</v>
          </cell>
        </row>
        <row r="77">
          <cell r="C77">
            <v>0</v>
          </cell>
          <cell r="D77">
            <v>0</v>
          </cell>
        </row>
        <row r="87">
          <cell r="C87">
            <v>0</v>
          </cell>
          <cell r="D87">
            <v>0</v>
          </cell>
        </row>
        <row r="97">
          <cell r="C97">
            <v>0</v>
          </cell>
          <cell r="D97">
            <v>0</v>
          </cell>
        </row>
        <row r="107">
          <cell r="C107">
            <v>0</v>
          </cell>
          <cell r="D107">
            <v>0</v>
          </cell>
        </row>
        <row r="117">
          <cell r="C117">
            <v>0</v>
          </cell>
          <cell r="D117">
            <v>0</v>
          </cell>
        </row>
        <row r="127">
          <cell r="C127">
            <v>1110</v>
          </cell>
          <cell r="D127">
            <v>91</v>
          </cell>
        </row>
        <row r="137">
          <cell r="C137">
            <v>1204</v>
          </cell>
          <cell r="D137">
            <v>0</v>
          </cell>
        </row>
      </sheetData>
      <sheetData sheetId="5">
        <row r="38">
          <cell r="C38">
            <v>24</v>
          </cell>
          <cell r="D38">
            <v>52</v>
          </cell>
        </row>
        <row r="51">
          <cell r="C51">
            <v>0</v>
          </cell>
          <cell r="D51">
            <v>0</v>
          </cell>
        </row>
        <row r="77">
          <cell r="C77">
            <v>0</v>
          </cell>
          <cell r="D77">
            <v>0</v>
          </cell>
        </row>
        <row r="90">
          <cell r="C90">
            <v>0</v>
          </cell>
          <cell r="D90">
            <v>0</v>
          </cell>
        </row>
        <row r="103">
          <cell r="C103">
            <v>0</v>
          </cell>
          <cell r="D103">
            <v>0</v>
          </cell>
        </row>
        <row r="116">
          <cell r="C116">
            <v>0</v>
          </cell>
          <cell r="D116">
            <v>0</v>
          </cell>
        </row>
        <row r="129">
          <cell r="C129">
            <v>0</v>
          </cell>
          <cell r="D129">
            <v>0</v>
          </cell>
        </row>
        <row r="142">
          <cell r="C142">
            <v>0</v>
          </cell>
          <cell r="D142">
            <v>0</v>
          </cell>
        </row>
        <row r="155">
          <cell r="C155">
            <v>214</v>
          </cell>
          <cell r="D155">
            <v>439</v>
          </cell>
        </row>
        <row r="169">
          <cell r="C169">
            <v>0</v>
          </cell>
          <cell r="D169">
            <v>0</v>
          </cell>
        </row>
        <row r="183">
          <cell r="C183">
            <v>0</v>
          </cell>
          <cell r="D183">
            <v>0</v>
          </cell>
        </row>
      </sheetData>
      <sheetData sheetId="6">
        <row r="32">
          <cell r="C32">
            <v>2237</v>
          </cell>
          <cell r="D32">
            <v>81</v>
          </cell>
        </row>
        <row r="43">
          <cell r="C43">
            <v>0</v>
          </cell>
          <cell r="D43">
            <v>0</v>
          </cell>
        </row>
        <row r="65">
          <cell r="C65">
            <v>0</v>
          </cell>
          <cell r="D65">
            <v>0</v>
          </cell>
        </row>
        <row r="76">
          <cell r="C76">
            <v>10</v>
          </cell>
          <cell r="D76">
            <v>0</v>
          </cell>
        </row>
        <row r="87">
          <cell r="C87">
            <v>0</v>
          </cell>
          <cell r="D87">
            <v>0</v>
          </cell>
        </row>
        <row r="98">
          <cell r="C98">
            <v>0</v>
          </cell>
          <cell r="D98">
            <v>0</v>
          </cell>
        </row>
        <row r="109">
          <cell r="C109">
            <v>0</v>
          </cell>
          <cell r="D109">
            <v>0</v>
          </cell>
        </row>
        <row r="120">
          <cell r="C120">
            <v>0</v>
          </cell>
          <cell r="D120">
            <v>0</v>
          </cell>
        </row>
        <row r="131">
          <cell r="C131">
            <v>1674</v>
          </cell>
          <cell r="D131">
            <v>35</v>
          </cell>
        </row>
        <row r="142">
          <cell r="C142">
            <v>0</v>
          </cell>
          <cell r="D142">
            <v>0</v>
          </cell>
        </row>
        <row r="153">
          <cell r="C153">
            <v>0</v>
          </cell>
          <cell r="D153">
            <v>0</v>
          </cell>
        </row>
      </sheetData>
      <sheetData sheetId="7">
        <row r="35">
          <cell r="C35">
            <v>0</v>
          </cell>
        </row>
        <row r="47">
          <cell r="C47">
            <v>1943</v>
          </cell>
        </row>
        <row r="71">
          <cell r="C71">
            <v>0</v>
          </cell>
        </row>
        <row r="83">
          <cell r="C83">
            <v>0</v>
          </cell>
        </row>
        <row r="95">
          <cell r="C95">
            <v>2795</v>
          </cell>
        </row>
        <row r="107">
          <cell r="C107">
            <v>0</v>
          </cell>
        </row>
        <row r="119">
          <cell r="C119">
            <v>61</v>
          </cell>
        </row>
        <row r="131">
          <cell r="C131">
            <v>2809</v>
          </cell>
        </row>
        <row r="143">
          <cell r="C143">
            <v>0</v>
          </cell>
        </row>
        <row r="155">
          <cell r="C155">
            <v>0</v>
          </cell>
        </row>
        <row r="167">
          <cell r="C167">
            <v>0</v>
          </cell>
        </row>
      </sheetData>
      <sheetData sheetId="8">
        <row r="14">
          <cell r="C14">
            <v>0</v>
          </cell>
        </row>
        <row r="19">
          <cell r="C19">
            <v>0</v>
          </cell>
        </row>
        <row r="29">
          <cell r="C29">
            <v>0</v>
          </cell>
        </row>
        <row r="34">
          <cell r="C34">
            <v>0</v>
          </cell>
        </row>
        <row r="39">
          <cell r="C39">
            <v>0</v>
          </cell>
        </row>
        <row r="44">
          <cell r="C44">
            <v>0</v>
          </cell>
        </row>
        <row r="49">
          <cell r="C49">
            <v>0</v>
          </cell>
        </row>
        <row r="54">
          <cell r="C54">
            <v>0</v>
          </cell>
        </row>
        <row r="59">
          <cell r="C59">
            <v>0</v>
          </cell>
        </row>
        <row r="64">
          <cell r="C64">
            <v>0</v>
          </cell>
        </row>
        <row r="69">
          <cell r="C69">
            <v>0</v>
          </cell>
        </row>
      </sheetData>
      <sheetData sheetId="9" refreshError="1"/>
      <sheetData sheetId="10" refreshError="1"/>
      <sheetData sheetId="1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3"/>
      <sheetName val="Dashboard"/>
      <sheetName val="PR - Activity Tracker"/>
      <sheetName val="Account Corrections Support"/>
      <sheetName val="Help Items"/>
      <sheetName val="Shaw Corrections Trend"/>
      <sheetName val="Learning Opportunity"/>
      <sheetName val="Team Structure"/>
      <sheetName val="SOP Status"/>
      <sheetName val="Follow Up Workbook"/>
      <sheetName val="Follow Up Trend"/>
    </sheetNames>
    <sheetDataSet>
      <sheetData sheetId="0"/>
      <sheetData sheetId="1"/>
      <sheetData sheetId="2"/>
      <sheetData sheetId="3"/>
      <sheetData sheetId="4">
        <row r="4">
          <cell r="F4">
            <v>1</v>
          </cell>
        </row>
        <row r="5">
          <cell r="F5">
            <v>1</v>
          </cell>
        </row>
        <row r="6">
          <cell r="F6">
            <v>0</v>
          </cell>
        </row>
        <row r="7">
          <cell r="F7">
            <v>0</v>
          </cell>
        </row>
        <row r="8">
          <cell r="F8">
            <v>9</v>
          </cell>
        </row>
        <row r="9">
          <cell r="F9">
            <v>3</v>
          </cell>
        </row>
        <row r="10">
          <cell r="F10">
            <v>93</v>
          </cell>
        </row>
        <row r="16">
          <cell r="F16">
            <v>0</v>
          </cell>
          <cell r="G16">
            <v>0</v>
          </cell>
        </row>
        <row r="17">
          <cell r="F17">
            <v>0</v>
          </cell>
          <cell r="G17">
            <v>0</v>
          </cell>
        </row>
        <row r="18">
          <cell r="F18">
            <v>0</v>
          </cell>
          <cell r="G18">
            <v>0</v>
          </cell>
        </row>
        <row r="19">
          <cell r="F19">
            <v>0</v>
          </cell>
          <cell r="G19">
            <v>0</v>
          </cell>
        </row>
        <row r="20">
          <cell r="F20">
            <v>0</v>
          </cell>
          <cell r="G20">
            <v>0</v>
          </cell>
        </row>
        <row r="21">
          <cell r="F21">
            <v>0</v>
          </cell>
          <cell r="G21">
            <v>0</v>
          </cell>
        </row>
        <row r="22">
          <cell r="F22">
            <v>0</v>
          </cell>
          <cell r="G22">
            <v>0</v>
          </cell>
        </row>
        <row r="28">
          <cell r="F28">
            <v>0</v>
          </cell>
        </row>
        <row r="29">
          <cell r="F29">
            <v>171</v>
          </cell>
        </row>
        <row r="30">
          <cell r="F30">
            <v>1076</v>
          </cell>
        </row>
        <row r="31">
          <cell r="F31">
            <v>0</v>
          </cell>
        </row>
        <row r="32">
          <cell r="F32">
            <v>0</v>
          </cell>
        </row>
        <row r="33">
          <cell r="F33">
            <v>0</v>
          </cell>
        </row>
        <row r="34">
          <cell r="F34">
            <v>0</v>
          </cell>
        </row>
        <row r="40">
          <cell r="F40">
            <v>0</v>
          </cell>
          <cell r="G40">
            <v>0</v>
          </cell>
        </row>
        <row r="41">
          <cell r="F41">
            <v>135</v>
          </cell>
          <cell r="G41">
            <v>641</v>
          </cell>
        </row>
        <row r="42">
          <cell r="F42">
            <v>0</v>
          </cell>
          <cell r="G42">
            <v>0</v>
          </cell>
        </row>
        <row r="43">
          <cell r="F43">
            <v>33</v>
          </cell>
          <cell r="G43">
            <v>182</v>
          </cell>
        </row>
        <row r="44">
          <cell r="F44">
            <v>0</v>
          </cell>
        </row>
        <row r="45">
          <cell r="G45">
            <v>0</v>
          </cell>
        </row>
        <row r="46">
          <cell r="F46">
            <v>0</v>
          </cell>
          <cell r="G46">
            <v>0</v>
          </cell>
        </row>
        <row r="52">
          <cell r="F52">
            <v>0</v>
          </cell>
        </row>
        <row r="53">
          <cell r="F53">
            <v>125</v>
          </cell>
        </row>
        <row r="54">
          <cell r="F54">
            <v>0</v>
          </cell>
        </row>
        <row r="55">
          <cell r="F55">
            <v>0</v>
          </cell>
        </row>
        <row r="56">
          <cell r="F56">
            <v>0</v>
          </cell>
        </row>
        <row r="57">
          <cell r="F57">
            <v>0</v>
          </cell>
        </row>
        <row r="58">
          <cell r="F58">
            <v>0</v>
          </cell>
        </row>
        <row r="64">
          <cell r="F64">
            <v>219</v>
          </cell>
        </row>
        <row r="65">
          <cell r="F65">
            <v>0</v>
          </cell>
        </row>
        <row r="66">
          <cell r="F66">
            <v>0</v>
          </cell>
        </row>
        <row r="67">
          <cell r="F67">
            <v>0</v>
          </cell>
        </row>
        <row r="68">
          <cell r="F68">
            <v>0</v>
          </cell>
        </row>
        <row r="69">
          <cell r="F69">
            <v>0</v>
          </cell>
        </row>
        <row r="70">
          <cell r="F70">
            <v>0</v>
          </cell>
        </row>
        <row r="76">
          <cell r="F76">
            <v>0</v>
          </cell>
        </row>
        <row r="77">
          <cell r="F77">
            <v>96</v>
          </cell>
        </row>
        <row r="78">
          <cell r="F78">
            <v>0</v>
          </cell>
        </row>
        <row r="79">
          <cell r="F79">
            <v>0</v>
          </cell>
        </row>
        <row r="80">
          <cell r="F80">
            <v>0</v>
          </cell>
        </row>
        <row r="81">
          <cell r="F81">
            <v>0</v>
          </cell>
        </row>
        <row r="82">
          <cell r="F82">
            <v>0</v>
          </cell>
        </row>
        <row r="88">
          <cell r="F88">
            <v>201</v>
          </cell>
        </row>
        <row r="89">
          <cell r="F89">
            <v>0</v>
          </cell>
        </row>
        <row r="90">
          <cell r="F90">
            <v>0</v>
          </cell>
        </row>
        <row r="91">
          <cell r="F91">
            <v>0</v>
          </cell>
        </row>
        <row r="92">
          <cell r="F92">
            <v>0</v>
          </cell>
        </row>
        <row r="93">
          <cell r="F93">
            <v>0</v>
          </cell>
        </row>
        <row r="94">
          <cell r="F94">
            <v>0</v>
          </cell>
        </row>
        <row r="100">
          <cell r="F100">
            <v>182</v>
          </cell>
        </row>
        <row r="101">
          <cell r="F101">
            <v>0</v>
          </cell>
        </row>
        <row r="102">
          <cell r="F102">
            <v>0</v>
          </cell>
        </row>
        <row r="103">
          <cell r="F103">
            <v>0</v>
          </cell>
        </row>
        <row r="104">
          <cell r="F104">
            <v>0</v>
          </cell>
        </row>
        <row r="105">
          <cell r="F105">
            <v>0</v>
          </cell>
        </row>
        <row r="106">
          <cell r="F106">
            <v>0</v>
          </cell>
        </row>
        <row r="112">
          <cell r="F112">
            <v>0</v>
          </cell>
          <cell r="G112">
            <v>0</v>
          </cell>
        </row>
        <row r="113">
          <cell r="F113">
            <v>0</v>
          </cell>
          <cell r="G113">
            <v>0</v>
          </cell>
        </row>
        <row r="114">
          <cell r="F114">
            <v>0</v>
          </cell>
          <cell r="G114">
            <v>0</v>
          </cell>
        </row>
        <row r="115">
          <cell r="F115">
            <v>62</v>
          </cell>
          <cell r="G115">
            <v>251</v>
          </cell>
        </row>
        <row r="116">
          <cell r="F116">
            <v>67</v>
          </cell>
          <cell r="G116">
            <v>279</v>
          </cell>
        </row>
        <row r="117">
          <cell r="F117">
            <v>67</v>
          </cell>
          <cell r="G117">
            <v>362</v>
          </cell>
        </row>
        <row r="118">
          <cell r="F118">
            <v>0</v>
          </cell>
          <cell r="G118">
            <v>0</v>
          </cell>
        </row>
        <row r="124">
          <cell r="F124">
            <v>46</v>
          </cell>
        </row>
        <row r="125">
          <cell r="F125">
            <v>0</v>
          </cell>
        </row>
        <row r="126">
          <cell r="F126">
            <v>0</v>
          </cell>
        </row>
        <row r="127">
          <cell r="F127">
            <v>0</v>
          </cell>
        </row>
        <row r="128">
          <cell r="F128">
            <v>0</v>
          </cell>
        </row>
        <row r="129">
          <cell r="F129">
            <v>0</v>
          </cell>
        </row>
        <row r="130">
          <cell r="F130">
            <v>0</v>
          </cell>
        </row>
        <row r="136">
          <cell r="F136">
            <v>0</v>
          </cell>
        </row>
        <row r="137">
          <cell r="F137">
            <v>0</v>
          </cell>
        </row>
        <row r="138">
          <cell r="F138">
            <v>0</v>
          </cell>
        </row>
        <row r="139">
          <cell r="F139">
            <v>0</v>
          </cell>
        </row>
        <row r="140">
          <cell r="F140">
            <v>21</v>
          </cell>
        </row>
        <row r="141">
          <cell r="F141">
            <v>22</v>
          </cell>
        </row>
        <row r="142">
          <cell r="F142">
            <v>0</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6ACF9-452E-4F35-87A6-FDB23C919362}">
  <dimension ref="A1:AL47"/>
  <sheetViews>
    <sheetView topLeftCell="A34" workbookViewId="0">
      <selection activeCell="F52" sqref="F52"/>
    </sheetView>
  </sheetViews>
  <sheetFormatPr defaultRowHeight="15"/>
  <cols>
    <col min="1" max="1" width="36.42578125" style="13" bestFit="1" customWidth="1"/>
    <col min="2" max="2" width="12.42578125" style="3" customWidth="1"/>
    <col min="3" max="7" width="8.85546875" style="3" customWidth="1"/>
    <col min="8" max="21" width="8.85546875" style="3" hidden="1" customWidth="1"/>
    <col min="22" max="22" width="9.42578125" style="3" customWidth="1"/>
    <col min="23" max="25" width="9.85546875" style="3" customWidth="1"/>
    <col min="26" max="27" width="9.140625" customWidth="1"/>
    <col min="28" max="33" width="9.140625" hidden="1" customWidth="1"/>
    <col min="36" max="36" width="16.140625" bestFit="1" customWidth="1"/>
  </cols>
  <sheetData>
    <row r="1" spans="1:37">
      <c r="A1" s="375" t="s">
        <v>106</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c r="AC1" s="375"/>
      <c r="AD1" s="375"/>
      <c r="AE1" s="375"/>
      <c r="AF1" s="375"/>
      <c r="AG1" s="375"/>
    </row>
    <row r="2" spans="1:37">
      <c r="A2" s="374" t="s">
        <v>15</v>
      </c>
      <c r="B2" s="375" t="s">
        <v>500</v>
      </c>
      <c r="C2" s="375"/>
      <c r="D2" s="375"/>
      <c r="E2" s="375"/>
      <c r="F2" s="375"/>
      <c r="G2" s="375"/>
      <c r="H2" s="375"/>
      <c r="I2" s="375"/>
      <c r="J2" s="375"/>
      <c r="K2" s="375"/>
      <c r="L2" s="375"/>
      <c r="M2" s="375"/>
      <c r="N2" s="375"/>
      <c r="O2" s="375"/>
      <c r="P2" s="375"/>
      <c r="Q2" s="375"/>
      <c r="R2" s="375"/>
      <c r="S2" s="375"/>
      <c r="T2" s="375"/>
      <c r="U2" s="375"/>
      <c r="V2" s="375" t="s">
        <v>465</v>
      </c>
      <c r="W2" s="375"/>
      <c r="X2" s="375"/>
      <c r="Y2" s="375"/>
      <c r="Z2" s="375"/>
      <c r="AA2" s="375"/>
      <c r="AB2" s="375"/>
      <c r="AC2" s="375"/>
      <c r="AD2" s="375"/>
      <c r="AE2" s="375"/>
      <c r="AF2" s="375"/>
      <c r="AG2" s="375"/>
    </row>
    <row r="3" spans="1:37">
      <c r="A3" s="374"/>
      <c r="B3" s="7" t="s">
        <v>64</v>
      </c>
      <c r="C3" s="7" t="s">
        <v>86</v>
      </c>
      <c r="D3" s="7" t="s">
        <v>89</v>
      </c>
      <c r="E3" s="7" t="s">
        <v>97</v>
      </c>
      <c r="F3" s="7" t="s">
        <v>125</v>
      </c>
      <c r="G3" s="7" t="s">
        <v>55</v>
      </c>
      <c r="H3" s="7"/>
      <c r="I3" s="7"/>
      <c r="J3" s="7"/>
      <c r="K3" s="7"/>
      <c r="L3" s="7"/>
      <c r="M3" s="7"/>
      <c r="N3" s="7"/>
      <c r="O3" s="7" t="s">
        <v>55</v>
      </c>
      <c r="P3" s="7" t="s">
        <v>56</v>
      </c>
      <c r="Q3" s="7" t="s">
        <v>27</v>
      </c>
      <c r="R3" s="7" t="s">
        <v>33</v>
      </c>
      <c r="S3" s="7" t="s">
        <v>43</v>
      </c>
      <c r="T3" s="7" t="s">
        <v>44</v>
      </c>
      <c r="U3" s="7" t="s">
        <v>61</v>
      </c>
      <c r="V3" s="7" t="s">
        <v>64</v>
      </c>
      <c r="W3" s="7" t="s">
        <v>86</v>
      </c>
      <c r="X3" s="7" t="s">
        <v>89</v>
      </c>
      <c r="Y3" s="7" t="s">
        <v>97</v>
      </c>
      <c r="Z3" s="7" t="s">
        <v>125</v>
      </c>
      <c r="AA3" s="7" t="s">
        <v>55</v>
      </c>
      <c r="AB3" s="7" t="s">
        <v>56</v>
      </c>
      <c r="AC3" s="7" t="s">
        <v>27</v>
      </c>
      <c r="AD3" s="7" t="s">
        <v>33</v>
      </c>
      <c r="AE3" s="7" t="s">
        <v>43</v>
      </c>
      <c r="AF3" s="7" t="s">
        <v>44</v>
      </c>
      <c r="AG3" s="7" t="s">
        <v>61</v>
      </c>
    </row>
    <row r="4" spans="1:37">
      <c r="A4" s="8" t="s">
        <v>26</v>
      </c>
      <c r="B4" s="27">
        <v>1924</v>
      </c>
      <c r="C4" s="27">
        <v>1286</v>
      </c>
      <c r="D4" s="27">
        <v>1425</v>
      </c>
      <c r="E4" s="27">
        <v>1987</v>
      </c>
      <c r="F4" s="27">
        <v>1365</v>
      </c>
      <c r="G4" s="27">
        <v>1094</v>
      </c>
      <c r="H4" s="27"/>
      <c r="I4" s="27"/>
      <c r="J4" s="27"/>
      <c r="K4" s="27"/>
      <c r="L4" s="27"/>
      <c r="M4" s="27"/>
      <c r="N4" s="27"/>
      <c r="O4" s="9"/>
      <c r="P4" s="9"/>
      <c r="Q4" s="9"/>
      <c r="R4" s="27"/>
      <c r="S4" s="27"/>
      <c r="T4" s="27"/>
      <c r="U4" s="27"/>
      <c r="V4" s="10">
        <v>1</v>
      </c>
      <c r="W4" s="10">
        <v>1</v>
      </c>
      <c r="X4" s="10">
        <v>1</v>
      </c>
      <c r="Y4" s="11">
        <f t="shared" ref="Y4:Z6" si="0">1-(0/E4)</f>
        <v>1</v>
      </c>
      <c r="Z4" s="11">
        <f t="shared" si="0"/>
        <v>1</v>
      </c>
      <c r="AA4" s="11">
        <f>1-(2/G4)</f>
        <v>0.9981718464351006</v>
      </c>
      <c r="AB4" s="10"/>
      <c r="AC4" s="11"/>
      <c r="AD4" s="11"/>
      <c r="AE4" s="11"/>
      <c r="AF4" s="11"/>
      <c r="AG4" s="11"/>
    </row>
    <row r="5" spans="1:37">
      <c r="A5" s="8" t="s">
        <v>104</v>
      </c>
      <c r="B5" s="89">
        <v>969</v>
      </c>
      <c r="C5" s="9">
        <v>991</v>
      </c>
      <c r="D5" s="27">
        <v>1045</v>
      </c>
      <c r="E5" s="9">
        <v>868</v>
      </c>
      <c r="F5" s="9">
        <v>779</v>
      </c>
      <c r="G5" s="322">
        <v>925</v>
      </c>
      <c r="H5" s="9"/>
      <c r="I5" s="9"/>
      <c r="J5" s="9"/>
      <c r="K5" s="9"/>
      <c r="L5" s="9"/>
      <c r="M5" s="9"/>
      <c r="N5" s="9"/>
      <c r="O5" s="9"/>
      <c r="P5" s="9"/>
      <c r="Q5" s="9"/>
      <c r="R5" s="9"/>
      <c r="S5" s="27"/>
      <c r="T5" s="27"/>
      <c r="U5" s="27"/>
      <c r="V5" s="11">
        <v>0.99826086956521742</v>
      </c>
      <c r="W5" s="10">
        <v>1</v>
      </c>
      <c r="X5" s="10">
        <v>1</v>
      </c>
      <c r="Y5" s="11">
        <f t="shared" si="0"/>
        <v>1</v>
      </c>
      <c r="Z5" s="11">
        <f t="shared" si="0"/>
        <v>1</v>
      </c>
      <c r="AA5" s="11">
        <f>1-(0/G5)</f>
        <v>1</v>
      </c>
      <c r="AB5" s="10"/>
      <c r="AC5" s="11"/>
      <c r="AD5" s="11"/>
      <c r="AE5" s="11"/>
      <c r="AF5" s="11"/>
      <c r="AG5" s="11"/>
    </row>
    <row r="6" spans="1:37">
      <c r="A6" s="8" t="s">
        <v>83</v>
      </c>
      <c r="B6" s="9">
        <v>165</v>
      </c>
      <c r="C6" s="9">
        <v>181</v>
      </c>
      <c r="D6" s="9">
        <v>154</v>
      </c>
      <c r="E6" s="9">
        <v>107</v>
      </c>
      <c r="F6" s="9">
        <v>117</v>
      </c>
      <c r="G6" s="322">
        <v>90</v>
      </c>
      <c r="H6" s="9"/>
      <c r="I6" s="9"/>
      <c r="J6" s="9"/>
      <c r="K6" s="9"/>
      <c r="L6" s="9"/>
      <c r="M6" s="9"/>
      <c r="N6" s="9"/>
      <c r="O6" s="9"/>
      <c r="P6" s="9"/>
      <c r="Q6" s="9"/>
      <c r="R6" s="9"/>
      <c r="S6" s="9"/>
      <c r="T6" s="9"/>
      <c r="U6" s="9"/>
      <c r="V6" s="10">
        <v>1</v>
      </c>
      <c r="W6" s="10">
        <v>1</v>
      </c>
      <c r="X6" s="10">
        <v>1</v>
      </c>
      <c r="Y6" s="11">
        <f t="shared" si="0"/>
        <v>1</v>
      </c>
      <c r="Z6" s="11">
        <f t="shared" si="0"/>
        <v>1</v>
      </c>
      <c r="AA6" s="11">
        <f>1-(1/G6)</f>
        <v>0.98888888888888893</v>
      </c>
      <c r="AB6" s="10"/>
      <c r="AC6" s="11"/>
      <c r="AD6" s="11"/>
      <c r="AE6" s="11"/>
      <c r="AF6" s="11"/>
      <c r="AG6" s="11"/>
    </row>
    <row r="7" spans="1:37">
      <c r="A7" s="8" t="s">
        <v>59</v>
      </c>
      <c r="B7" s="27">
        <v>22230</v>
      </c>
      <c r="C7" s="27">
        <v>18780</v>
      </c>
      <c r="D7" s="27">
        <v>19069</v>
      </c>
      <c r="E7" s="27">
        <v>22903</v>
      </c>
      <c r="F7" s="27">
        <v>18360</v>
      </c>
      <c r="G7" s="27">
        <v>17264</v>
      </c>
      <c r="H7" s="27"/>
      <c r="I7" s="27"/>
      <c r="J7" s="27"/>
      <c r="K7" s="27"/>
      <c r="L7" s="27"/>
      <c r="M7" s="27"/>
      <c r="N7" s="27"/>
      <c r="O7" s="9"/>
      <c r="P7" s="9"/>
      <c r="Q7" s="9"/>
      <c r="R7" s="9"/>
      <c r="S7" s="9"/>
      <c r="T7" s="9"/>
      <c r="U7" s="9"/>
      <c r="V7" s="10">
        <v>1</v>
      </c>
      <c r="W7" s="10">
        <v>1</v>
      </c>
      <c r="X7" s="10">
        <v>1</v>
      </c>
      <c r="Y7" s="11">
        <f>1-(2/E47)</f>
        <v>0.99991334113263142</v>
      </c>
      <c r="Z7" s="11">
        <f>1-(0/F7)</f>
        <v>1</v>
      </c>
      <c r="AA7" s="11">
        <f>1-(0/G7)</f>
        <v>1</v>
      </c>
      <c r="AB7" s="10"/>
      <c r="AC7" s="11"/>
      <c r="AD7" s="11"/>
      <c r="AE7" s="11"/>
      <c r="AF7" s="11"/>
      <c r="AG7" s="11"/>
    </row>
    <row r="8" spans="1:37">
      <c r="A8" s="8" t="s">
        <v>16</v>
      </c>
      <c r="B8" s="89">
        <v>634</v>
      </c>
      <c r="C8" s="9">
        <v>689</v>
      </c>
      <c r="D8" s="9">
        <v>695</v>
      </c>
      <c r="E8" s="9">
        <v>818</v>
      </c>
      <c r="F8" s="9">
        <v>872</v>
      </c>
      <c r="G8" s="9">
        <v>842</v>
      </c>
      <c r="H8" s="9"/>
      <c r="I8" s="9"/>
      <c r="J8" s="9"/>
      <c r="K8" s="9"/>
      <c r="L8" s="9"/>
      <c r="M8" s="9"/>
      <c r="N8" s="9"/>
      <c r="O8" s="9"/>
      <c r="P8" s="9"/>
      <c r="Q8" s="9"/>
      <c r="R8" s="9"/>
      <c r="S8" s="9"/>
      <c r="T8" s="9"/>
      <c r="U8" s="9"/>
      <c r="V8" s="11">
        <v>0.99684542586750791</v>
      </c>
      <c r="W8" s="11">
        <v>0.99854862119013066</v>
      </c>
      <c r="X8" s="11">
        <f>1-(2/695)</f>
        <v>0.99712230215827335</v>
      </c>
      <c r="Y8" s="11">
        <f>1-(16/E8)</f>
        <v>0.98044009779951102</v>
      </c>
      <c r="Z8" s="11">
        <f>1-(2/G8)</f>
        <v>0.99762470308788598</v>
      </c>
      <c r="AA8" s="11">
        <f>1-0/G8</f>
        <v>1</v>
      </c>
      <c r="AB8" s="11"/>
      <c r="AC8" s="11"/>
      <c r="AD8" s="11"/>
      <c r="AE8" s="11"/>
      <c r="AF8" s="11"/>
      <c r="AG8" s="11"/>
    </row>
    <row r="9" spans="1:37">
      <c r="A9" s="8" t="s">
        <v>533</v>
      </c>
      <c r="B9" s="27">
        <v>190</v>
      </c>
      <c r="C9" s="27">
        <v>1380</v>
      </c>
      <c r="D9" s="27">
        <v>1716</v>
      </c>
      <c r="E9" s="27">
        <v>1613</v>
      </c>
      <c r="F9" s="27">
        <v>1832</v>
      </c>
      <c r="G9" s="27">
        <v>1759</v>
      </c>
      <c r="H9" s="27"/>
      <c r="I9" s="27"/>
      <c r="J9" s="27"/>
      <c r="K9" s="27"/>
      <c r="L9" s="27"/>
      <c r="M9" s="27"/>
      <c r="N9" s="27"/>
      <c r="O9" s="27"/>
      <c r="P9" s="27"/>
      <c r="Q9" s="27"/>
      <c r="R9" s="27"/>
      <c r="S9" s="27"/>
      <c r="T9" s="27"/>
      <c r="U9" s="27"/>
      <c r="V9" s="10">
        <v>1</v>
      </c>
      <c r="W9" s="10">
        <v>1</v>
      </c>
      <c r="X9" s="10">
        <v>1</v>
      </c>
      <c r="Y9" s="11">
        <f>1-(3/E9)</f>
        <v>0.9981401115933044</v>
      </c>
      <c r="Z9" s="11">
        <f>1-(0/F9)</f>
        <v>1</v>
      </c>
      <c r="AA9" s="11">
        <f>1-(0/G9)</f>
        <v>1</v>
      </c>
      <c r="AB9" s="11"/>
      <c r="AC9" s="11"/>
      <c r="AD9" s="11"/>
      <c r="AE9" s="11"/>
      <c r="AF9" s="11"/>
      <c r="AG9" s="11"/>
    </row>
    <row r="10" spans="1:37">
      <c r="A10" s="376" t="s">
        <v>82</v>
      </c>
      <c r="B10" s="377"/>
      <c r="C10" s="377"/>
      <c r="D10" s="377"/>
      <c r="E10" s="377"/>
      <c r="F10" s="377"/>
      <c r="G10" s="377"/>
      <c r="H10" s="377"/>
      <c r="I10" s="377"/>
      <c r="J10" s="377"/>
      <c r="K10" s="377"/>
      <c r="L10" s="377"/>
      <c r="M10" s="377"/>
      <c r="N10" s="377"/>
      <c r="O10" s="377"/>
      <c r="P10" s="377"/>
      <c r="Q10" s="377"/>
      <c r="R10" s="377"/>
      <c r="S10" s="377"/>
      <c r="T10" s="377"/>
      <c r="U10" s="377"/>
      <c r="V10" s="377"/>
      <c r="W10" s="377"/>
      <c r="X10" s="377"/>
      <c r="Y10" s="377"/>
      <c r="Z10" s="377"/>
      <c r="AA10" s="377"/>
      <c r="AB10" s="377"/>
      <c r="AC10" s="377"/>
      <c r="AD10" s="377"/>
      <c r="AE10" s="377"/>
      <c r="AF10" s="377"/>
      <c r="AG10" s="378"/>
    </row>
    <row r="11" spans="1:37">
      <c r="A11" s="374" t="s">
        <v>15</v>
      </c>
      <c r="B11" s="375" t="s">
        <v>500</v>
      </c>
      <c r="C11" s="375"/>
      <c r="D11" s="375"/>
      <c r="E11" s="375"/>
      <c r="F11" s="375"/>
      <c r="G11" s="375"/>
      <c r="H11" s="375"/>
      <c r="I11" s="375"/>
      <c r="J11" s="375"/>
      <c r="K11" s="375"/>
      <c r="L11" s="375"/>
      <c r="M11" s="375"/>
      <c r="N11" s="375"/>
      <c r="O11" s="375"/>
      <c r="P11" s="375"/>
      <c r="Q11" s="375"/>
      <c r="R11" s="375"/>
      <c r="S11" s="375"/>
      <c r="T11" s="375"/>
      <c r="U11" s="375"/>
      <c r="V11" s="376" t="s">
        <v>465</v>
      </c>
      <c r="W11" s="377"/>
      <c r="X11" s="377"/>
      <c r="Y11" s="377"/>
      <c r="Z11" s="377"/>
      <c r="AA11" s="377"/>
      <c r="AB11" s="377"/>
      <c r="AC11" s="377"/>
      <c r="AD11" s="377"/>
      <c r="AE11" s="377"/>
      <c r="AF11" s="377"/>
      <c r="AG11" s="378"/>
    </row>
    <row r="12" spans="1:37">
      <c r="A12" s="374"/>
      <c r="B12" s="7" t="s">
        <v>64</v>
      </c>
      <c r="C12" s="7" t="s">
        <v>86</v>
      </c>
      <c r="D12" s="7" t="s">
        <v>89</v>
      </c>
      <c r="E12" s="7" t="s">
        <v>97</v>
      </c>
      <c r="F12" s="7" t="s">
        <v>125</v>
      </c>
      <c r="G12" s="7" t="s">
        <v>55</v>
      </c>
      <c r="H12" s="7"/>
      <c r="I12" s="7"/>
      <c r="J12" s="7"/>
      <c r="K12" s="7"/>
      <c r="L12" s="7"/>
      <c r="M12" s="7"/>
      <c r="N12" s="7"/>
      <c r="O12" s="7" t="s">
        <v>55</v>
      </c>
      <c r="P12" s="7" t="s">
        <v>56</v>
      </c>
      <c r="Q12" s="7" t="s">
        <v>27</v>
      </c>
      <c r="R12" s="7" t="s">
        <v>33</v>
      </c>
      <c r="S12" s="7" t="s">
        <v>43</v>
      </c>
      <c r="T12" s="7" t="s">
        <v>44</v>
      </c>
      <c r="U12" s="7" t="s">
        <v>61</v>
      </c>
      <c r="V12" s="7" t="s">
        <v>64</v>
      </c>
      <c r="W12" s="7" t="s">
        <v>86</v>
      </c>
      <c r="X12" s="7" t="s">
        <v>89</v>
      </c>
      <c r="Y12" s="7" t="s">
        <v>97</v>
      </c>
      <c r="Z12" s="7" t="s">
        <v>125</v>
      </c>
      <c r="AA12" s="7" t="s">
        <v>55</v>
      </c>
      <c r="AB12" s="7" t="s">
        <v>56</v>
      </c>
      <c r="AC12" s="7" t="s">
        <v>27</v>
      </c>
      <c r="AD12" s="7" t="s">
        <v>33</v>
      </c>
      <c r="AE12" s="7" t="s">
        <v>43</v>
      </c>
      <c r="AF12" s="7" t="s">
        <v>44</v>
      </c>
      <c r="AG12" s="7" t="s">
        <v>61</v>
      </c>
    </row>
    <row r="13" spans="1:37" ht="15" customHeight="1">
      <c r="A13" s="8" t="s">
        <v>17</v>
      </c>
      <c r="B13" s="9">
        <v>546</v>
      </c>
      <c r="C13" s="9">
        <v>609</v>
      </c>
      <c r="D13" s="9">
        <v>659</v>
      </c>
      <c r="E13" s="9">
        <v>622</v>
      </c>
      <c r="F13" s="9">
        <v>786</v>
      </c>
      <c r="G13" s="9">
        <v>529</v>
      </c>
      <c r="H13" s="9"/>
      <c r="I13" s="9"/>
      <c r="J13" s="9"/>
      <c r="K13" s="9"/>
      <c r="L13" s="9"/>
      <c r="M13" s="9"/>
      <c r="N13" s="9"/>
      <c r="O13" s="9"/>
      <c r="P13" s="9"/>
      <c r="Q13" s="9"/>
      <c r="R13" s="9"/>
      <c r="S13" s="9"/>
      <c r="T13" s="9"/>
      <c r="U13" s="27"/>
      <c r="V13" s="11">
        <f>1-(7/B13)</f>
        <v>0.98717948717948723</v>
      </c>
      <c r="W13" s="11">
        <f>1-(6/C13)</f>
        <v>0.99014778325123154</v>
      </c>
      <c r="X13" s="11">
        <f>1-(1/D13)</f>
        <v>0.99848254931714719</v>
      </c>
      <c r="Y13" s="11">
        <f>1-(1/E13)</f>
        <v>0.99839228295819937</v>
      </c>
      <c r="Z13" s="11">
        <f t="shared" ref="Z13:AA15" si="1">1-(0/F13)</f>
        <v>1</v>
      </c>
      <c r="AA13" s="11">
        <f t="shared" si="1"/>
        <v>1</v>
      </c>
      <c r="AB13" s="10"/>
      <c r="AC13" s="11"/>
      <c r="AD13" s="11"/>
      <c r="AE13" s="11"/>
      <c r="AF13" s="11"/>
      <c r="AG13" s="11"/>
    </row>
    <row r="14" spans="1:37">
      <c r="A14" s="8" t="s">
        <v>18</v>
      </c>
      <c r="B14" s="9">
        <v>945</v>
      </c>
      <c r="C14" s="9">
        <v>780</v>
      </c>
      <c r="D14" s="9">
        <v>962</v>
      </c>
      <c r="E14" s="9">
        <v>885</v>
      </c>
      <c r="F14" s="9">
        <v>752</v>
      </c>
      <c r="G14" s="9">
        <v>729</v>
      </c>
      <c r="H14" s="9"/>
      <c r="I14" s="9"/>
      <c r="J14" s="9"/>
      <c r="K14" s="9"/>
      <c r="L14" s="9"/>
      <c r="M14" s="9"/>
      <c r="N14" s="9"/>
      <c r="O14" s="9"/>
      <c r="P14" s="27"/>
      <c r="Q14" s="27"/>
      <c r="R14" s="27"/>
      <c r="S14" s="27"/>
      <c r="T14" s="27"/>
      <c r="U14" s="27"/>
      <c r="V14" s="10">
        <v>1</v>
      </c>
      <c r="W14" s="10">
        <v>1</v>
      </c>
      <c r="X14" s="10">
        <v>1</v>
      </c>
      <c r="Y14" s="11">
        <f>1-(0/E14)</f>
        <v>1</v>
      </c>
      <c r="Z14" s="11">
        <f t="shared" si="1"/>
        <v>1</v>
      </c>
      <c r="AA14" s="11">
        <f t="shared" si="1"/>
        <v>1</v>
      </c>
      <c r="AB14" s="10"/>
      <c r="AC14" s="11"/>
      <c r="AD14" s="11"/>
      <c r="AE14" s="11"/>
      <c r="AF14" s="11"/>
      <c r="AG14" s="11"/>
    </row>
    <row r="15" spans="1:37">
      <c r="A15" s="8" t="s">
        <v>19</v>
      </c>
      <c r="B15" s="27">
        <v>1710</v>
      </c>
      <c r="C15" s="27">
        <v>1761</v>
      </c>
      <c r="D15" s="27">
        <v>2072</v>
      </c>
      <c r="E15" s="27">
        <v>2375</v>
      </c>
      <c r="F15" s="27">
        <v>2384</v>
      </c>
      <c r="G15" s="27">
        <v>2271</v>
      </c>
      <c r="H15" s="27"/>
      <c r="I15" s="27"/>
      <c r="J15" s="27"/>
      <c r="K15" s="27"/>
      <c r="L15" s="27"/>
      <c r="M15" s="27"/>
      <c r="N15" s="27"/>
      <c r="O15" s="27"/>
      <c r="P15" s="27"/>
      <c r="Q15" s="27"/>
      <c r="R15" s="27"/>
      <c r="S15" s="27"/>
      <c r="T15" s="27"/>
      <c r="U15" s="27"/>
      <c r="V15" s="10">
        <v>1</v>
      </c>
      <c r="W15" s="10">
        <v>1</v>
      </c>
      <c r="X15" s="10">
        <v>1</v>
      </c>
      <c r="Y15" s="11">
        <f>1-(0/E15)</f>
        <v>1</v>
      </c>
      <c r="Z15" s="11">
        <f t="shared" si="1"/>
        <v>1</v>
      </c>
      <c r="AA15" s="11">
        <f t="shared" si="1"/>
        <v>1</v>
      </c>
      <c r="AB15" s="10"/>
      <c r="AC15" s="11"/>
      <c r="AD15" s="11"/>
      <c r="AE15" s="11"/>
      <c r="AF15" s="11"/>
      <c r="AG15" s="11"/>
    </row>
    <row r="16" spans="1:37">
      <c r="A16" s="8" t="s">
        <v>24</v>
      </c>
      <c r="B16" s="27">
        <v>3470</v>
      </c>
      <c r="C16" s="27">
        <v>3923</v>
      </c>
      <c r="D16" s="27">
        <v>4114</v>
      </c>
      <c r="E16" s="27">
        <v>3745</v>
      </c>
      <c r="F16" s="27">
        <v>3894</v>
      </c>
      <c r="G16" s="27">
        <v>3951</v>
      </c>
      <c r="H16" s="27"/>
      <c r="I16" s="27"/>
      <c r="J16" s="27"/>
      <c r="K16" s="27"/>
      <c r="L16" s="27"/>
      <c r="M16" s="27"/>
      <c r="N16" s="27"/>
      <c r="O16" s="27"/>
      <c r="P16" s="27"/>
      <c r="Q16" s="27"/>
      <c r="R16" s="27"/>
      <c r="S16" s="27"/>
      <c r="T16" s="27"/>
      <c r="U16" s="27"/>
      <c r="V16" s="10">
        <v>1</v>
      </c>
      <c r="W16" s="10">
        <v>1</v>
      </c>
      <c r="X16" s="10">
        <v>1</v>
      </c>
      <c r="Y16" s="11">
        <f>1-(0/E16)</f>
        <v>1</v>
      </c>
      <c r="Z16" s="11">
        <f>1-(5/F16)</f>
        <v>0.99871597329224449</v>
      </c>
      <c r="AA16" s="11">
        <f>1-(0/G16)</f>
        <v>1</v>
      </c>
      <c r="AB16" s="10"/>
      <c r="AC16" s="11"/>
      <c r="AD16" s="11"/>
      <c r="AE16" s="11"/>
      <c r="AF16" s="11"/>
      <c r="AG16" s="11"/>
      <c r="AK16" s="254"/>
    </row>
    <row r="17" spans="1:38">
      <c r="A17" s="8" t="s">
        <v>84</v>
      </c>
      <c r="B17" s="27">
        <v>3603</v>
      </c>
      <c r="C17" s="27">
        <v>3748</v>
      </c>
      <c r="D17" s="27">
        <v>3837</v>
      </c>
      <c r="E17" s="27">
        <v>3266</v>
      </c>
      <c r="F17" s="27">
        <v>3991</v>
      </c>
      <c r="G17" s="27">
        <v>4037</v>
      </c>
      <c r="H17" s="27"/>
      <c r="I17" s="27"/>
      <c r="J17" s="27"/>
      <c r="K17" s="27"/>
      <c r="L17" s="27"/>
      <c r="M17" s="27"/>
      <c r="N17" s="27"/>
      <c r="O17" s="27"/>
      <c r="P17" s="27"/>
      <c r="Q17" s="27"/>
      <c r="R17" s="27"/>
      <c r="S17" s="27"/>
      <c r="T17" s="27"/>
      <c r="U17" s="27"/>
      <c r="V17" s="10">
        <v>1</v>
      </c>
      <c r="W17" s="10">
        <v>1</v>
      </c>
      <c r="X17" s="10">
        <v>1</v>
      </c>
      <c r="Y17" s="11">
        <f>1-(2/E17)</f>
        <v>0.99938763012859766</v>
      </c>
      <c r="Z17" s="11">
        <f>1-(0/F17)</f>
        <v>1</v>
      </c>
      <c r="AA17" s="11">
        <f>1-(0/G17)</f>
        <v>1</v>
      </c>
      <c r="AB17" s="10"/>
      <c r="AC17" s="11"/>
      <c r="AD17" s="11"/>
      <c r="AE17" s="11"/>
      <c r="AF17" s="11"/>
      <c r="AG17" s="11"/>
    </row>
    <row r="18" spans="1:38">
      <c r="A18" s="8" t="s">
        <v>534</v>
      </c>
      <c r="B18" s="27">
        <v>4714</v>
      </c>
      <c r="C18" s="27">
        <v>5111</v>
      </c>
      <c r="D18" s="27">
        <v>5582</v>
      </c>
      <c r="E18" s="27">
        <v>7124</v>
      </c>
      <c r="F18" s="27">
        <v>6912</v>
      </c>
      <c r="G18" s="27">
        <v>7608</v>
      </c>
      <c r="H18" s="27"/>
      <c r="I18" s="27"/>
      <c r="J18" s="27"/>
      <c r="K18" s="27"/>
      <c r="L18" s="27"/>
      <c r="M18" s="27"/>
      <c r="N18" s="27"/>
      <c r="O18" s="27"/>
      <c r="P18" s="27"/>
      <c r="Q18" s="27"/>
      <c r="R18" s="27"/>
      <c r="S18" s="27"/>
      <c r="T18" s="27"/>
      <c r="U18" s="27"/>
      <c r="V18" s="10">
        <v>1</v>
      </c>
      <c r="W18" s="10">
        <v>1</v>
      </c>
      <c r="X18" s="11">
        <f>1-(1/D18)</f>
        <v>0.99982085274095311</v>
      </c>
      <c r="Y18" s="11">
        <f>1-(1/E18)</f>
        <v>0.99985962942167317</v>
      </c>
      <c r="Z18" s="11">
        <f>1-(0/F18)</f>
        <v>1</v>
      </c>
      <c r="AA18" s="11">
        <f>1-(0/G18)</f>
        <v>1</v>
      </c>
      <c r="AB18" s="10"/>
      <c r="AC18" s="11"/>
      <c r="AD18" s="11"/>
      <c r="AE18" s="11"/>
      <c r="AF18" s="11"/>
      <c r="AG18" s="11"/>
    </row>
    <row r="19" spans="1:38">
      <c r="A19" s="8" t="s">
        <v>85</v>
      </c>
      <c r="B19" s="27">
        <v>7580</v>
      </c>
      <c r="C19" s="27">
        <v>7451</v>
      </c>
      <c r="D19" s="27">
        <v>7477</v>
      </c>
      <c r="E19" s="27">
        <v>7343</v>
      </c>
      <c r="F19" s="27">
        <v>7682</v>
      </c>
      <c r="G19" s="27">
        <v>6586</v>
      </c>
      <c r="H19" s="27"/>
      <c r="I19" s="27"/>
      <c r="J19" s="27"/>
      <c r="K19" s="27"/>
      <c r="L19" s="27"/>
      <c r="M19" s="27"/>
      <c r="N19" s="27"/>
      <c r="O19" s="27"/>
      <c r="P19" s="27"/>
      <c r="Q19" s="27"/>
      <c r="R19" s="27"/>
      <c r="S19" s="27"/>
      <c r="T19" s="27"/>
      <c r="U19" s="27"/>
      <c r="V19" s="10">
        <v>1</v>
      </c>
      <c r="W19" s="10">
        <v>1</v>
      </c>
      <c r="X19" s="10">
        <v>1</v>
      </c>
      <c r="Y19" s="11">
        <f>1-(0/E19)</f>
        <v>1</v>
      </c>
      <c r="Z19" s="11">
        <f>1-(0/F19)</f>
        <v>1</v>
      </c>
      <c r="AA19" s="11">
        <f>1-(0/G19)</f>
        <v>1</v>
      </c>
      <c r="AB19" s="10"/>
      <c r="AC19" s="11"/>
      <c r="AD19" s="11"/>
      <c r="AE19" s="11"/>
      <c r="AF19" s="11"/>
      <c r="AG19" s="11"/>
    </row>
    <row r="20" spans="1:38">
      <c r="A20" s="376" t="s">
        <v>81</v>
      </c>
      <c r="B20" s="377"/>
      <c r="C20" s="377"/>
      <c r="D20" s="377"/>
      <c r="E20" s="377"/>
      <c r="F20" s="377"/>
      <c r="G20" s="377"/>
      <c r="H20" s="377"/>
      <c r="I20" s="377"/>
      <c r="J20" s="377"/>
      <c r="K20" s="377"/>
      <c r="L20" s="377"/>
      <c r="M20" s="377"/>
      <c r="N20" s="377"/>
      <c r="O20" s="377"/>
      <c r="P20" s="377"/>
      <c r="Q20" s="377"/>
      <c r="R20" s="377"/>
      <c r="S20" s="377"/>
      <c r="T20" s="377"/>
      <c r="U20" s="377"/>
      <c r="V20" s="377"/>
      <c r="W20" s="377"/>
      <c r="X20" s="377"/>
      <c r="Y20" s="377"/>
      <c r="Z20" s="377"/>
      <c r="AA20" s="377"/>
      <c r="AB20" s="377"/>
      <c r="AC20" s="377"/>
      <c r="AD20" s="377"/>
      <c r="AE20" s="377"/>
      <c r="AF20" s="377"/>
      <c r="AG20" s="378"/>
    </row>
    <row r="21" spans="1:38">
      <c r="A21" s="374" t="s">
        <v>15</v>
      </c>
      <c r="B21" s="375" t="s">
        <v>500</v>
      </c>
      <c r="C21" s="375"/>
      <c r="D21" s="375"/>
      <c r="E21" s="375"/>
      <c r="F21" s="375"/>
      <c r="G21" s="375"/>
      <c r="H21" s="375"/>
      <c r="I21" s="375"/>
      <c r="J21" s="375"/>
      <c r="K21" s="375"/>
      <c r="L21" s="375"/>
      <c r="M21" s="375"/>
      <c r="N21" s="375"/>
      <c r="O21" s="375"/>
      <c r="P21" s="375"/>
      <c r="Q21" s="375"/>
      <c r="R21" s="375"/>
      <c r="S21" s="375"/>
      <c r="T21" s="375"/>
      <c r="U21" s="375"/>
      <c r="V21" s="376" t="s">
        <v>465</v>
      </c>
      <c r="W21" s="377"/>
      <c r="X21" s="377"/>
      <c r="Y21" s="377"/>
      <c r="Z21" s="377"/>
      <c r="AA21" s="377"/>
      <c r="AB21" s="377"/>
      <c r="AC21" s="377"/>
      <c r="AD21" s="377"/>
      <c r="AE21" s="377"/>
      <c r="AF21" s="377"/>
      <c r="AG21" s="378"/>
    </row>
    <row r="22" spans="1:38">
      <c r="A22" s="374"/>
      <c r="B22" s="7" t="s">
        <v>64</v>
      </c>
      <c r="C22" s="7" t="s">
        <v>86</v>
      </c>
      <c r="D22" s="7" t="s">
        <v>89</v>
      </c>
      <c r="E22" s="7" t="s">
        <v>97</v>
      </c>
      <c r="F22" s="7" t="s">
        <v>125</v>
      </c>
      <c r="G22" s="7" t="s">
        <v>55</v>
      </c>
      <c r="H22" s="7"/>
      <c r="I22" s="7"/>
      <c r="J22" s="7"/>
      <c r="K22" s="7"/>
      <c r="L22" s="7"/>
      <c r="M22" s="7"/>
      <c r="N22" s="7"/>
      <c r="O22" s="7" t="s">
        <v>91</v>
      </c>
      <c r="P22" s="7" t="s">
        <v>92</v>
      </c>
      <c r="Q22" s="7" t="s">
        <v>27</v>
      </c>
      <c r="R22" s="7" t="s">
        <v>33</v>
      </c>
      <c r="S22" s="7" t="s">
        <v>43</v>
      </c>
      <c r="T22" s="7" t="s">
        <v>44</v>
      </c>
      <c r="U22" s="7" t="s">
        <v>61</v>
      </c>
      <c r="V22" s="7" t="s">
        <v>64</v>
      </c>
      <c r="W22" s="7" t="s">
        <v>86</v>
      </c>
      <c r="X22" s="7" t="s">
        <v>89</v>
      </c>
      <c r="Y22" s="7" t="s">
        <v>97</v>
      </c>
      <c r="Z22" s="7" t="s">
        <v>125</v>
      </c>
      <c r="AA22" s="7" t="s">
        <v>55</v>
      </c>
      <c r="AB22" s="7" t="s">
        <v>92</v>
      </c>
      <c r="AC22" s="7" t="s">
        <v>27</v>
      </c>
      <c r="AD22" s="7" t="s">
        <v>33</v>
      </c>
      <c r="AE22" s="7" t="s">
        <v>43</v>
      </c>
      <c r="AF22" s="7" t="s">
        <v>44</v>
      </c>
      <c r="AG22" s="7" t="s">
        <v>61</v>
      </c>
    </row>
    <row r="23" spans="1:38" ht="15" customHeight="1">
      <c r="A23" s="8" t="s">
        <v>37</v>
      </c>
      <c r="B23" s="9">
        <v>547</v>
      </c>
      <c r="C23" s="9">
        <v>524</v>
      </c>
      <c r="D23" s="9">
        <v>552</v>
      </c>
      <c r="E23" s="9">
        <v>633</v>
      </c>
      <c r="F23" s="9">
        <v>649</v>
      </c>
      <c r="G23" s="9">
        <v>445</v>
      </c>
      <c r="H23" s="9"/>
      <c r="I23" s="9"/>
      <c r="J23" s="9"/>
      <c r="K23" s="9"/>
      <c r="L23" s="9"/>
      <c r="M23" s="9"/>
      <c r="N23" s="9"/>
      <c r="O23" s="9"/>
      <c r="P23" s="9"/>
      <c r="Q23" s="9"/>
      <c r="R23" s="9"/>
      <c r="S23" s="27"/>
      <c r="T23" s="27"/>
      <c r="U23" s="27"/>
      <c r="V23" s="11">
        <v>1</v>
      </c>
      <c r="W23" s="11">
        <v>0.99809999999999999</v>
      </c>
      <c r="X23" s="11">
        <v>1</v>
      </c>
      <c r="Y23" s="11">
        <f>1-(0/E23)</f>
        <v>1</v>
      </c>
      <c r="Z23" s="11">
        <f>1-(0/F23)</f>
        <v>1</v>
      </c>
      <c r="AA23" s="11">
        <f>1-(0/G23)</f>
        <v>1</v>
      </c>
      <c r="AB23" s="10"/>
      <c r="AC23" s="11"/>
      <c r="AD23" s="11"/>
      <c r="AE23" s="11"/>
      <c r="AF23" s="11"/>
      <c r="AG23" s="11"/>
      <c r="AL23" s="149"/>
    </row>
    <row r="24" spans="1:38">
      <c r="A24" s="8" t="s">
        <v>21</v>
      </c>
      <c r="B24" s="9">
        <v>717</v>
      </c>
      <c r="C24" s="9">
        <v>797</v>
      </c>
      <c r="D24" s="9">
        <v>708</v>
      </c>
      <c r="E24" s="9">
        <v>711</v>
      </c>
      <c r="F24" s="9">
        <v>528</v>
      </c>
      <c r="G24" s="9">
        <v>407</v>
      </c>
      <c r="H24" s="9"/>
      <c r="I24" s="9"/>
      <c r="J24" s="9"/>
      <c r="K24" s="9"/>
      <c r="L24" s="9"/>
      <c r="M24" s="9"/>
      <c r="N24" s="9"/>
      <c r="O24" s="9"/>
      <c r="P24" s="9"/>
      <c r="Q24" s="9"/>
      <c r="R24" s="9"/>
      <c r="S24" s="9"/>
      <c r="T24" s="9"/>
      <c r="U24" s="9"/>
      <c r="V24" s="11">
        <v>1</v>
      </c>
      <c r="W24" s="11">
        <v>0.99870000000000003</v>
      </c>
      <c r="X24" s="11">
        <v>1</v>
      </c>
      <c r="Y24" s="11">
        <f>1-(1/E24)</f>
        <v>0.99859353023909991</v>
      </c>
      <c r="Z24" s="11">
        <f t="shared" ref="Z24:AA30" si="2">1-(0/F24)</f>
        <v>1</v>
      </c>
      <c r="AA24" s="11">
        <f t="shared" si="2"/>
        <v>1</v>
      </c>
      <c r="AB24" s="10"/>
      <c r="AC24" s="11"/>
      <c r="AD24" s="11"/>
      <c r="AE24" s="11"/>
      <c r="AF24" s="11"/>
      <c r="AG24" s="11"/>
      <c r="AL24" s="150"/>
    </row>
    <row r="25" spans="1:38">
      <c r="A25" s="8" t="s">
        <v>32</v>
      </c>
      <c r="B25" s="27">
        <v>1211</v>
      </c>
      <c r="C25" s="27">
        <v>1237</v>
      </c>
      <c r="D25" s="27">
        <v>1023</v>
      </c>
      <c r="E25" s="27">
        <v>1103</v>
      </c>
      <c r="F25" s="9">
        <v>1076</v>
      </c>
      <c r="G25" s="9">
        <v>908</v>
      </c>
      <c r="H25" s="27"/>
      <c r="I25" s="27"/>
      <c r="J25" s="27"/>
      <c r="K25" s="27"/>
      <c r="L25" s="27"/>
      <c r="M25" s="27"/>
      <c r="N25" s="27"/>
      <c r="O25" s="27"/>
      <c r="P25" s="27"/>
      <c r="Q25" s="27"/>
      <c r="R25" s="9"/>
      <c r="S25" s="9"/>
      <c r="T25" s="9"/>
      <c r="U25" s="9"/>
      <c r="V25" s="11">
        <v>1</v>
      </c>
      <c r="W25" s="11">
        <v>0.99919999999999998</v>
      </c>
      <c r="X25" s="11">
        <v>1</v>
      </c>
      <c r="Y25" s="11">
        <f t="shared" ref="Y25:Y30" si="3">1-(0/E25)</f>
        <v>1</v>
      </c>
      <c r="Z25" s="11">
        <f t="shared" si="2"/>
        <v>1</v>
      </c>
      <c r="AA25" s="11">
        <f t="shared" si="2"/>
        <v>1</v>
      </c>
      <c r="AB25" s="10"/>
      <c r="AC25" s="11"/>
      <c r="AD25" s="11"/>
      <c r="AE25" s="11"/>
      <c r="AF25" s="11"/>
      <c r="AG25" s="11"/>
    </row>
    <row r="26" spans="1:38">
      <c r="A26" s="8" t="s">
        <v>38</v>
      </c>
      <c r="B26" s="27">
        <v>62</v>
      </c>
      <c r="C26" s="9">
        <v>79</v>
      </c>
      <c r="D26" s="9">
        <v>88</v>
      </c>
      <c r="E26" s="9">
        <v>75</v>
      </c>
      <c r="F26" s="9">
        <v>95</v>
      </c>
      <c r="G26" s="9">
        <v>74</v>
      </c>
      <c r="H26" s="9"/>
      <c r="I26" s="9"/>
      <c r="J26" s="9"/>
      <c r="K26" s="9"/>
      <c r="L26" s="9"/>
      <c r="M26" s="9"/>
      <c r="N26" s="9"/>
      <c r="O26" s="9"/>
      <c r="P26" s="9"/>
      <c r="Q26" s="9"/>
      <c r="R26" s="9"/>
      <c r="S26" s="9"/>
      <c r="T26" s="9"/>
      <c r="U26" s="9"/>
      <c r="V26" s="11">
        <v>1</v>
      </c>
      <c r="W26" s="11">
        <v>1</v>
      </c>
      <c r="X26" s="11">
        <v>1</v>
      </c>
      <c r="Y26" s="11">
        <f t="shared" si="3"/>
        <v>1</v>
      </c>
      <c r="Z26" s="11">
        <f t="shared" si="2"/>
        <v>1</v>
      </c>
      <c r="AA26" s="11">
        <f t="shared" si="2"/>
        <v>1</v>
      </c>
      <c r="AB26" s="10"/>
      <c r="AC26" s="11"/>
      <c r="AD26" s="11"/>
      <c r="AE26" s="11"/>
      <c r="AF26" s="11"/>
      <c r="AG26" s="11"/>
    </row>
    <row r="27" spans="1:38">
      <c r="A27" s="8" t="s">
        <v>30</v>
      </c>
      <c r="B27" s="27">
        <v>100</v>
      </c>
      <c r="C27" s="9">
        <v>241</v>
      </c>
      <c r="D27" s="9">
        <v>189</v>
      </c>
      <c r="E27" s="9">
        <v>129</v>
      </c>
      <c r="F27" s="9">
        <v>97</v>
      </c>
      <c r="G27" s="9">
        <v>97</v>
      </c>
      <c r="H27" s="9"/>
      <c r="I27" s="9"/>
      <c r="J27" s="9"/>
      <c r="K27" s="9"/>
      <c r="L27" s="9"/>
      <c r="M27" s="9"/>
      <c r="N27" s="9"/>
      <c r="O27" s="9"/>
      <c r="P27" s="9"/>
      <c r="Q27" s="9"/>
      <c r="R27" s="9"/>
      <c r="S27" s="9"/>
      <c r="T27" s="9"/>
      <c r="U27" s="9"/>
      <c r="V27" s="11">
        <v>0.99</v>
      </c>
      <c r="W27" s="11">
        <v>1</v>
      </c>
      <c r="X27" s="11">
        <v>1</v>
      </c>
      <c r="Y27" s="11">
        <f t="shared" si="3"/>
        <v>1</v>
      </c>
      <c r="Z27" s="11">
        <f t="shared" si="2"/>
        <v>1</v>
      </c>
      <c r="AA27" s="11">
        <f t="shared" si="2"/>
        <v>1</v>
      </c>
      <c r="AB27" s="10"/>
      <c r="AC27" s="11"/>
      <c r="AD27" s="11"/>
      <c r="AE27" s="11"/>
      <c r="AF27" s="11"/>
      <c r="AG27" s="11"/>
    </row>
    <row r="28" spans="1:38">
      <c r="A28" s="8" t="s">
        <v>31</v>
      </c>
      <c r="B28" s="27">
        <v>99</v>
      </c>
      <c r="C28" s="9">
        <v>121</v>
      </c>
      <c r="D28" s="9">
        <v>102</v>
      </c>
      <c r="E28" s="9">
        <v>74</v>
      </c>
      <c r="F28" s="9">
        <v>92</v>
      </c>
      <c r="G28" s="9">
        <v>120</v>
      </c>
      <c r="H28" s="9"/>
      <c r="I28" s="9"/>
      <c r="J28" s="9"/>
      <c r="K28" s="9"/>
      <c r="L28" s="9"/>
      <c r="M28" s="9"/>
      <c r="N28" s="9"/>
      <c r="O28" s="9"/>
      <c r="P28" s="9"/>
      <c r="Q28" s="9"/>
      <c r="R28" s="9"/>
      <c r="S28" s="9"/>
      <c r="T28" s="9"/>
      <c r="U28" s="9"/>
      <c r="V28" s="11">
        <v>1</v>
      </c>
      <c r="W28" s="11">
        <v>1</v>
      </c>
      <c r="X28" s="11">
        <v>1</v>
      </c>
      <c r="Y28" s="11">
        <f t="shared" si="3"/>
        <v>1</v>
      </c>
      <c r="Z28" s="11">
        <f t="shared" si="2"/>
        <v>1</v>
      </c>
      <c r="AA28" s="11">
        <f t="shared" si="2"/>
        <v>1</v>
      </c>
      <c r="AB28" s="10"/>
      <c r="AC28" s="11"/>
      <c r="AD28" s="11"/>
      <c r="AE28" s="11"/>
      <c r="AF28" s="11"/>
      <c r="AG28" s="11"/>
    </row>
    <row r="29" spans="1:38">
      <c r="A29" s="8" t="s">
        <v>60</v>
      </c>
      <c r="B29" s="27">
        <v>66</v>
      </c>
      <c r="C29" s="9">
        <v>56</v>
      </c>
      <c r="D29" s="9">
        <v>101</v>
      </c>
      <c r="E29" s="9">
        <v>67</v>
      </c>
      <c r="F29" s="9">
        <v>93</v>
      </c>
      <c r="G29" s="9">
        <v>39</v>
      </c>
      <c r="H29" s="9"/>
      <c r="I29" s="9"/>
      <c r="J29" s="9"/>
      <c r="K29" s="9"/>
      <c r="L29" s="9"/>
      <c r="M29" s="9"/>
      <c r="N29" s="9"/>
      <c r="O29" s="9"/>
      <c r="P29" s="9"/>
      <c r="Q29" s="9"/>
      <c r="R29" s="9"/>
      <c r="S29" s="9"/>
      <c r="T29" s="9"/>
      <c r="U29" s="9"/>
      <c r="V29" s="11">
        <v>1</v>
      </c>
      <c r="W29" s="11">
        <v>1</v>
      </c>
      <c r="X29" s="11">
        <v>1</v>
      </c>
      <c r="Y29" s="11">
        <f t="shared" si="3"/>
        <v>1</v>
      </c>
      <c r="Z29" s="11">
        <f t="shared" si="2"/>
        <v>1</v>
      </c>
      <c r="AA29" s="11">
        <f t="shared" si="2"/>
        <v>1</v>
      </c>
      <c r="AB29" s="10"/>
      <c r="AC29" s="11"/>
      <c r="AD29" s="11"/>
      <c r="AE29" s="11"/>
      <c r="AF29" s="11"/>
      <c r="AG29" s="11"/>
    </row>
    <row r="30" spans="1:38">
      <c r="A30" s="8" t="s">
        <v>88</v>
      </c>
      <c r="B30" s="27">
        <v>2802</v>
      </c>
      <c r="C30" s="54">
        <f t="shared" ref="C30:Q30" si="4">SUM(C23:C29)</f>
        <v>3055</v>
      </c>
      <c r="D30" s="54">
        <f t="shared" si="4"/>
        <v>2763</v>
      </c>
      <c r="E30" s="54">
        <f t="shared" si="4"/>
        <v>2792</v>
      </c>
      <c r="F30" s="54">
        <f>SUM(F23:F29)</f>
        <v>2630</v>
      </c>
      <c r="G30" s="335">
        <v>2090</v>
      </c>
      <c r="H30" s="54"/>
      <c r="I30" s="54"/>
      <c r="J30" s="54"/>
      <c r="K30" s="54"/>
      <c r="L30" s="54"/>
      <c r="M30" s="54"/>
      <c r="N30" s="54"/>
      <c r="O30" s="54">
        <f t="shared" si="4"/>
        <v>0</v>
      </c>
      <c r="P30" s="54">
        <f t="shared" si="4"/>
        <v>0</v>
      </c>
      <c r="Q30" s="54">
        <f t="shared" si="4"/>
        <v>0</v>
      </c>
      <c r="R30" s="54">
        <f>SUM(R23:R29)</f>
        <v>0</v>
      </c>
      <c r="S30" s="54">
        <f>SUM(S23:S29)</f>
        <v>0</v>
      </c>
      <c r="T30" s="54">
        <f>SUM(T23:T29)</f>
        <v>0</v>
      </c>
      <c r="U30" s="54">
        <f>SUM(U23:U29)</f>
        <v>0</v>
      </c>
      <c r="V30" s="11">
        <f>AVERAGE(V23:V29)</f>
        <v>0.99857142857142855</v>
      </c>
      <c r="W30" s="11">
        <f>AVERAGE(W23:W29)</f>
        <v>0.99942857142857144</v>
      </c>
      <c r="X30" s="11">
        <f>AVERAGE(X23:X29)</f>
        <v>1</v>
      </c>
      <c r="Y30" s="11">
        <f t="shared" si="3"/>
        <v>1</v>
      </c>
      <c r="Z30" s="11">
        <f t="shared" si="2"/>
        <v>1</v>
      </c>
      <c r="AA30" s="11">
        <f t="shared" si="2"/>
        <v>1</v>
      </c>
      <c r="AB30" s="9"/>
      <c r="AC30" s="9"/>
      <c r="AD30" s="9"/>
      <c r="AE30" s="9"/>
      <c r="AF30" s="9"/>
      <c r="AG30" s="1"/>
    </row>
    <row r="31" spans="1:38">
      <c r="A31" s="376" t="s">
        <v>541</v>
      </c>
      <c r="B31" s="377"/>
      <c r="C31" s="377"/>
      <c r="D31" s="377"/>
      <c r="E31" s="377"/>
      <c r="F31" s="377"/>
      <c r="G31" s="377"/>
      <c r="H31" s="377"/>
      <c r="I31" s="377"/>
      <c r="J31" s="377"/>
      <c r="K31" s="377"/>
      <c r="L31" s="377"/>
      <c r="M31" s="377"/>
      <c r="N31" s="377"/>
      <c r="O31" s="377"/>
      <c r="P31" s="377"/>
      <c r="Q31" s="377"/>
      <c r="R31" s="377"/>
      <c r="S31" s="377"/>
      <c r="T31" s="377"/>
      <c r="U31" s="377"/>
      <c r="V31" s="377"/>
      <c r="W31" s="377"/>
      <c r="X31" s="377"/>
      <c r="Y31" s="377"/>
      <c r="Z31" s="377"/>
      <c r="AA31" s="377"/>
      <c r="AB31" s="377"/>
      <c r="AC31" s="377"/>
      <c r="AD31" s="377"/>
      <c r="AE31" s="377"/>
      <c r="AF31" s="377"/>
      <c r="AG31" s="378"/>
    </row>
    <row r="32" spans="1:38">
      <c r="A32" s="374" t="s">
        <v>15</v>
      </c>
      <c r="B32" s="375" t="s">
        <v>500</v>
      </c>
      <c r="C32" s="375"/>
      <c r="D32" s="375"/>
      <c r="E32" s="375"/>
      <c r="F32" s="375"/>
      <c r="G32" s="375"/>
      <c r="H32" s="375"/>
      <c r="I32" s="375"/>
      <c r="J32" s="375"/>
      <c r="K32" s="375"/>
      <c r="L32" s="375"/>
      <c r="M32" s="375"/>
      <c r="N32" s="375"/>
      <c r="O32" s="375"/>
      <c r="P32" s="375"/>
      <c r="Q32" s="375"/>
      <c r="R32" s="375"/>
      <c r="S32" s="375"/>
      <c r="T32" s="375"/>
      <c r="U32" s="375"/>
      <c r="V32" s="376" t="s">
        <v>465</v>
      </c>
      <c r="W32" s="377"/>
      <c r="X32" s="377"/>
      <c r="Y32" s="377"/>
      <c r="Z32" s="377"/>
      <c r="AA32" s="377"/>
      <c r="AB32" s="377"/>
      <c r="AC32" s="377"/>
      <c r="AD32" s="377"/>
      <c r="AE32" s="377"/>
      <c r="AF32" s="377"/>
      <c r="AG32" s="378"/>
    </row>
    <row r="33" spans="1:33">
      <c r="A33" s="374"/>
      <c r="B33" s="7" t="s">
        <v>64</v>
      </c>
      <c r="C33" s="7" t="s">
        <v>86</v>
      </c>
      <c r="D33" s="7" t="s">
        <v>89</v>
      </c>
      <c r="E33" s="7" t="s">
        <v>97</v>
      </c>
      <c r="F33" s="7" t="s">
        <v>125</v>
      </c>
      <c r="G33" s="7" t="s">
        <v>55</v>
      </c>
      <c r="H33" s="7"/>
      <c r="I33" s="7"/>
      <c r="J33" s="7"/>
      <c r="K33" s="7"/>
      <c r="L33" s="7"/>
      <c r="M33" s="7"/>
      <c r="N33" s="7"/>
      <c r="O33" s="7" t="s">
        <v>91</v>
      </c>
      <c r="P33" s="7" t="s">
        <v>92</v>
      </c>
      <c r="Q33" s="7" t="s">
        <v>27</v>
      </c>
      <c r="R33" s="7" t="s">
        <v>33</v>
      </c>
      <c r="S33" s="7" t="s">
        <v>43</v>
      </c>
      <c r="T33" s="7" t="s">
        <v>44</v>
      </c>
      <c r="U33" s="7" t="s">
        <v>61</v>
      </c>
      <c r="V33" s="7" t="s">
        <v>64</v>
      </c>
      <c r="W33" s="7" t="s">
        <v>86</v>
      </c>
      <c r="X33" s="7" t="s">
        <v>89</v>
      </c>
      <c r="Y33" s="7" t="s">
        <v>97</v>
      </c>
      <c r="Z33" s="7" t="s">
        <v>125</v>
      </c>
      <c r="AA33" s="7" t="s">
        <v>55</v>
      </c>
      <c r="AB33" s="7" t="s">
        <v>92</v>
      </c>
      <c r="AC33" s="7" t="s">
        <v>27</v>
      </c>
      <c r="AD33" s="7" t="s">
        <v>33</v>
      </c>
      <c r="AE33" s="7" t="s">
        <v>43</v>
      </c>
      <c r="AF33" s="7" t="s">
        <v>44</v>
      </c>
      <c r="AG33" s="7" t="s">
        <v>61</v>
      </c>
    </row>
    <row r="34" spans="1:33">
      <c r="A34" s="8" t="s">
        <v>542</v>
      </c>
      <c r="B34" s="27">
        <v>557</v>
      </c>
      <c r="C34" s="27">
        <v>511</v>
      </c>
      <c r="D34" s="9">
        <v>574</v>
      </c>
      <c r="E34" s="27">
        <v>606</v>
      </c>
      <c r="F34" s="27">
        <f>251+405</f>
        <v>656</v>
      </c>
      <c r="G34" s="9">
        <v>666</v>
      </c>
      <c r="H34" s="27"/>
      <c r="I34" s="27"/>
      <c r="J34" s="27"/>
      <c r="K34" s="27"/>
      <c r="L34" s="27"/>
      <c r="M34" s="27"/>
      <c r="N34" s="27"/>
      <c r="O34" s="162"/>
      <c r="P34" s="162"/>
      <c r="Q34" s="162"/>
      <c r="R34" s="162"/>
      <c r="S34" s="162"/>
      <c r="T34" s="162"/>
      <c r="U34" s="162"/>
      <c r="V34" s="91">
        <v>0.99820466786355477</v>
      </c>
      <c r="W34" s="10">
        <v>1</v>
      </c>
      <c r="X34" s="10">
        <v>1</v>
      </c>
      <c r="Y34" s="11">
        <f t="shared" ref="Y34:AA39" si="5">1-(0/E34)</f>
        <v>1</v>
      </c>
      <c r="Z34" s="11">
        <f t="shared" si="5"/>
        <v>1</v>
      </c>
      <c r="AA34" s="11">
        <f t="shared" si="5"/>
        <v>1</v>
      </c>
      <c r="AB34" s="9"/>
      <c r="AC34" s="9"/>
      <c r="AD34" s="9"/>
      <c r="AE34" s="9"/>
      <c r="AF34" s="9"/>
      <c r="AG34" s="1"/>
    </row>
    <row r="35" spans="1:33">
      <c r="A35" s="8" t="s">
        <v>545</v>
      </c>
      <c r="B35" s="27">
        <v>40</v>
      </c>
      <c r="C35" s="27">
        <v>38</v>
      </c>
      <c r="D35" s="9">
        <v>39</v>
      </c>
      <c r="E35" s="27">
        <v>35</v>
      </c>
      <c r="F35" s="27">
        <v>0</v>
      </c>
      <c r="G35" s="9">
        <v>0</v>
      </c>
      <c r="H35" s="27"/>
      <c r="I35" s="27"/>
      <c r="J35" s="27"/>
      <c r="K35" s="27"/>
      <c r="L35" s="27"/>
      <c r="M35" s="27"/>
      <c r="N35" s="27"/>
      <c r="O35" s="162"/>
      <c r="P35" s="162"/>
      <c r="Q35" s="162"/>
      <c r="R35" s="162"/>
      <c r="S35" s="162"/>
      <c r="T35" s="162"/>
      <c r="U35" s="162"/>
      <c r="V35" s="90">
        <v>1</v>
      </c>
      <c r="W35" s="10">
        <v>1</v>
      </c>
      <c r="X35" s="10">
        <v>1</v>
      </c>
      <c r="Y35" s="11">
        <f t="shared" si="5"/>
        <v>1</v>
      </c>
      <c r="Z35" s="11" t="e">
        <f t="shared" si="5"/>
        <v>#DIV/0!</v>
      </c>
      <c r="AA35" s="11" t="e">
        <f t="shared" si="5"/>
        <v>#DIV/0!</v>
      </c>
      <c r="AB35" s="9"/>
      <c r="AC35" s="9"/>
      <c r="AD35" s="9"/>
      <c r="AE35" s="9"/>
      <c r="AF35" s="9"/>
      <c r="AG35" s="1"/>
    </row>
    <row r="36" spans="1:33">
      <c r="A36" s="8" t="s">
        <v>546</v>
      </c>
      <c r="B36" s="27">
        <v>1385</v>
      </c>
      <c r="C36" s="27">
        <v>1567</v>
      </c>
      <c r="D36" s="27">
        <v>1828</v>
      </c>
      <c r="E36" s="27">
        <v>1909</v>
      </c>
      <c r="F36" s="27">
        <v>2154</v>
      </c>
      <c r="G36" s="27">
        <v>2602</v>
      </c>
      <c r="H36" s="27"/>
      <c r="I36" s="27"/>
      <c r="J36" s="27"/>
      <c r="K36" s="27"/>
      <c r="L36" s="27"/>
      <c r="M36" s="27"/>
      <c r="N36" s="27"/>
      <c r="V36" s="90">
        <v>1</v>
      </c>
      <c r="W36" s="10">
        <v>1</v>
      </c>
      <c r="X36" s="10">
        <v>1</v>
      </c>
      <c r="Y36" s="11">
        <f t="shared" si="5"/>
        <v>1</v>
      </c>
      <c r="Z36" s="11">
        <f t="shared" si="5"/>
        <v>1</v>
      </c>
      <c r="AA36" s="11">
        <f t="shared" si="5"/>
        <v>1</v>
      </c>
      <c r="AB36" s="9"/>
      <c r="AC36" s="9"/>
      <c r="AD36" s="9"/>
      <c r="AE36" s="9"/>
      <c r="AF36" s="9"/>
      <c r="AG36" s="1"/>
    </row>
    <row r="37" spans="1:33">
      <c r="A37" s="8" t="s">
        <v>543</v>
      </c>
      <c r="B37" s="27">
        <v>224</v>
      </c>
      <c r="C37" s="9">
        <v>209</v>
      </c>
      <c r="D37" s="9">
        <v>171</v>
      </c>
      <c r="E37" s="27">
        <v>221</v>
      </c>
      <c r="F37" s="27">
        <v>182</v>
      </c>
      <c r="G37" s="9">
        <v>150</v>
      </c>
      <c r="H37" s="27"/>
      <c r="I37" s="27"/>
      <c r="J37" s="27"/>
      <c r="K37" s="27"/>
      <c r="L37" s="27"/>
      <c r="M37" s="27"/>
      <c r="N37" s="27"/>
      <c r="O37" s="162"/>
      <c r="P37" s="162"/>
      <c r="Q37" s="162"/>
      <c r="R37" s="162"/>
      <c r="S37" s="162"/>
      <c r="T37" s="162"/>
      <c r="U37" s="162"/>
      <c r="V37" s="90">
        <v>1</v>
      </c>
      <c r="W37" s="10">
        <v>1</v>
      </c>
      <c r="X37" s="10">
        <v>1</v>
      </c>
      <c r="Y37" s="11">
        <f t="shared" si="5"/>
        <v>1</v>
      </c>
      <c r="Z37" s="11">
        <f t="shared" si="5"/>
        <v>1</v>
      </c>
      <c r="AA37" s="11">
        <f t="shared" si="5"/>
        <v>1</v>
      </c>
      <c r="AB37" s="9"/>
      <c r="AC37" s="9"/>
      <c r="AD37" s="9"/>
      <c r="AE37" s="9"/>
      <c r="AF37" s="9"/>
      <c r="AG37" s="1"/>
    </row>
    <row r="38" spans="1:33">
      <c r="A38" s="8" t="s">
        <v>544</v>
      </c>
      <c r="B38" s="27">
        <v>1046</v>
      </c>
      <c r="C38" s="27">
        <v>1131</v>
      </c>
      <c r="D38" s="9">
        <v>932</v>
      </c>
      <c r="E38" s="27">
        <v>1131</v>
      </c>
      <c r="F38" s="27">
        <v>1141</v>
      </c>
      <c r="G38" s="27">
        <v>1032</v>
      </c>
      <c r="H38" s="27"/>
      <c r="I38" s="27"/>
      <c r="J38" s="27"/>
      <c r="K38" s="27"/>
      <c r="L38" s="27"/>
      <c r="M38" s="27"/>
      <c r="N38" s="27"/>
      <c r="O38" s="162"/>
      <c r="P38" s="162"/>
      <c r="Q38" s="162"/>
      <c r="R38" s="162"/>
      <c r="S38" s="162"/>
      <c r="T38" s="162"/>
      <c r="U38" s="162"/>
      <c r="V38" s="90">
        <v>1</v>
      </c>
      <c r="W38" s="10">
        <v>1</v>
      </c>
      <c r="X38" s="10">
        <v>1</v>
      </c>
      <c r="Y38" s="11">
        <f t="shared" si="5"/>
        <v>1</v>
      </c>
      <c r="Z38" s="11">
        <f t="shared" si="5"/>
        <v>1</v>
      </c>
      <c r="AA38" s="11">
        <f t="shared" si="5"/>
        <v>1</v>
      </c>
      <c r="AB38" s="9"/>
      <c r="AC38" s="9"/>
      <c r="AD38" s="9"/>
      <c r="AE38" s="9"/>
      <c r="AF38" s="9"/>
      <c r="AG38" s="1"/>
    </row>
    <row r="39" spans="1:33">
      <c r="A39" s="8" t="s">
        <v>547</v>
      </c>
      <c r="B39" s="27">
        <v>40</v>
      </c>
      <c r="C39" s="9">
        <v>29</v>
      </c>
      <c r="D39" s="9">
        <v>0</v>
      </c>
      <c r="E39" s="162">
        <v>0</v>
      </c>
      <c r="F39" s="27">
        <v>0</v>
      </c>
      <c r="G39" s="9">
        <v>0</v>
      </c>
      <c r="H39" s="162"/>
      <c r="I39" s="162"/>
      <c r="J39" s="162"/>
      <c r="K39" s="162"/>
      <c r="L39" s="162"/>
      <c r="M39" s="162"/>
      <c r="N39" s="162"/>
      <c r="V39" s="90">
        <v>1</v>
      </c>
      <c r="W39" s="10">
        <v>1</v>
      </c>
      <c r="X39" s="10">
        <v>1</v>
      </c>
      <c r="Y39" s="11" t="e">
        <f t="shared" si="5"/>
        <v>#DIV/0!</v>
      </c>
      <c r="Z39" s="11" t="e">
        <f t="shared" si="5"/>
        <v>#DIV/0!</v>
      </c>
      <c r="AA39" s="11" t="e">
        <f t="shared" si="5"/>
        <v>#DIV/0!</v>
      </c>
      <c r="AB39" s="9"/>
      <c r="AC39" s="9"/>
      <c r="AD39" s="9"/>
      <c r="AE39" s="9"/>
      <c r="AF39" s="9"/>
      <c r="AG39" s="1"/>
    </row>
    <row r="40" spans="1:33">
      <c r="A40" s="376" t="s">
        <v>1066</v>
      </c>
      <c r="B40" s="377"/>
      <c r="C40" s="377"/>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8"/>
    </row>
    <row r="41" spans="1:33">
      <c r="A41" s="374" t="s">
        <v>15</v>
      </c>
      <c r="B41" s="375" t="s">
        <v>500</v>
      </c>
      <c r="C41" s="375"/>
      <c r="D41" s="375"/>
      <c r="E41" s="375"/>
      <c r="F41" s="375"/>
      <c r="G41" s="375"/>
      <c r="H41" s="375"/>
      <c r="I41" s="375"/>
      <c r="J41" s="375"/>
      <c r="K41" s="375"/>
      <c r="L41" s="375"/>
      <c r="M41" s="375"/>
      <c r="N41" s="375"/>
      <c r="O41" s="375"/>
      <c r="P41" s="375"/>
      <c r="Q41" s="375"/>
      <c r="R41" s="375"/>
      <c r="S41" s="375"/>
      <c r="T41" s="375"/>
      <c r="U41" s="375"/>
      <c r="V41" s="376" t="s">
        <v>465</v>
      </c>
      <c r="W41" s="377"/>
      <c r="X41" s="377"/>
      <c r="Y41" s="377"/>
      <c r="Z41" s="377"/>
      <c r="AA41" s="377"/>
      <c r="AB41" s="377"/>
      <c r="AC41" s="377"/>
      <c r="AD41" s="377"/>
      <c r="AE41" s="377"/>
      <c r="AF41" s="377"/>
      <c r="AG41" s="378"/>
    </row>
    <row r="42" spans="1:33">
      <c r="A42" s="374"/>
      <c r="B42" s="7" t="s">
        <v>64</v>
      </c>
      <c r="C42" s="7" t="s">
        <v>86</v>
      </c>
      <c r="D42" s="7" t="s">
        <v>89</v>
      </c>
      <c r="E42" s="7" t="s">
        <v>97</v>
      </c>
      <c r="F42" s="7" t="s">
        <v>125</v>
      </c>
      <c r="G42" s="7" t="s">
        <v>55</v>
      </c>
      <c r="H42" s="7"/>
      <c r="I42" s="7"/>
      <c r="J42" s="7"/>
      <c r="K42" s="7"/>
      <c r="L42" s="7"/>
      <c r="M42" s="7"/>
      <c r="N42" s="7"/>
      <c r="O42" s="7" t="s">
        <v>55</v>
      </c>
      <c r="P42" s="7" t="s">
        <v>56</v>
      </c>
      <c r="Q42" s="7" t="s">
        <v>27</v>
      </c>
      <c r="R42" s="7" t="s">
        <v>33</v>
      </c>
      <c r="S42" s="7" t="s">
        <v>43</v>
      </c>
      <c r="T42" s="7" t="s">
        <v>44</v>
      </c>
      <c r="U42" s="7" t="s">
        <v>61</v>
      </c>
      <c r="V42" s="7" t="s">
        <v>64</v>
      </c>
      <c r="W42" s="7" t="s">
        <v>86</v>
      </c>
      <c r="X42" s="7" t="s">
        <v>89</v>
      </c>
      <c r="Y42" s="7" t="s">
        <v>97</v>
      </c>
      <c r="Z42" s="7" t="s">
        <v>125</v>
      </c>
      <c r="AA42" s="7" t="s">
        <v>55</v>
      </c>
      <c r="AB42" s="7" t="s">
        <v>56</v>
      </c>
      <c r="AC42" s="7" t="s">
        <v>27</v>
      </c>
      <c r="AD42" s="7" t="s">
        <v>33</v>
      </c>
      <c r="AE42" s="7" t="s">
        <v>43</v>
      </c>
      <c r="AF42" s="7" t="s">
        <v>44</v>
      </c>
      <c r="AG42" s="7" t="s">
        <v>61</v>
      </c>
    </row>
    <row r="43" spans="1:33">
      <c r="A43" s="8" t="s">
        <v>685</v>
      </c>
      <c r="B43" s="27">
        <v>4670</v>
      </c>
      <c r="C43" s="27">
        <v>5452</v>
      </c>
      <c r="D43" s="27">
        <v>5019</v>
      </c>
      <c r="E43" s="27">
        <v>4704</v>
      </c>
      <c r="F43" s="27">
        <v>4626</v>
      </c>
      <c r="G43" s="27">
        <v>8482</v>
      </c>
      <c r="H43" s="27"/>
      <c r="I43" s="27"/>
      <c r="J43" s="27"/>
      <c r="K43" s="27"/>
      <c r="L43" s="27"/>
      <c r="M43" s="27"/>
      <c r="N43" s="27"/>
      <c r="O43" s="27"/>
      <c r="P43" s="27"/>
      <c r="Q43" s="27"/>
      <c r="R43" s="27"/>
      <c r="S43" s="27"/>
      <c r="T43" s="27"/>
      <c r="U43" s="27"/>
      <c r="V43" s="10">
        <v>1</v>
      </c>
      <c r="W43" s="10">
        <v>1</v>
      </c>
      <c r="X43" s="10">
        <v>1</v>
      </c>
      <c r="Y43" s="11">
        <f t="shared" ref="Y43:AA44" si="6">1-(0/E43)</f>
        <v>1</v>
      </c>
      <c r="Z43" s="11">
        <f t="shared" si="6"/>
        <v>1</v>
      </c>
      <c r="AA43" s="11">
        <f t="shared" si="6"/>
        <v>1</v>
      </c>
      <c r="AB43" s="10"/>
      <c r="AC43" s="11"/>
      <c r="AD43" s="11"/>
      <c r="AE43" s="11"/>
      <c r="AF43" s="11"/>
      <c r="AG43" s="11"/>
    </row>
    <row r="44" spans="1:33">
      <c r="A44" s="8" t="s">
        <v>105</v>
      </c>
      <c r="B44" s="27">
        <v>8657</v>
      </c>
      <c r="C44" s="27">
        <v>11667</v>
      </c>
      <c r="D44" s="27">
        <v>12701</v>
      </c>
      <c r="E44" s="27">
        <v>14051</v>
      </c>
      <c r="F44" s="27">
        <v>13716</v>
      </c>
      <c r="G44" s="27">
        <v>11636</v>
      </c>
      <c r="H44" s="27"/>
      <c r="I44" s="27"/>
      <c r="J44" s="27"/>
      <c r="K44" s="27"/>
      <c r="L44" s="27"/>
      <c r="M44" s="27"/>
      <c r="N44" s="27"/>
      <c r="O44" s="27"/>
      <c r="P44" s="27"/>
      <c r="Q44" s="27"/>
      <c r="R44" s="27"/>
      <c r="S44" s="27"/>
      <c r="T44" s="27"/>
      <c r="U44" s="27"/>
      <c r="V44" s="10">
        <v>1</v>
      </c>
      <c r="W44" s="10">
        <v>1</v>
      </c>
      <c r="X44" s="10">
        <v>1</v>
      </c>
      <c r="Y44" s="11">
        <f t="shared" si="6"/>
        <v>1</v>
      </c>
      <c r="Z44" s="11">
        <f t="shared" si="6"/>
        <v>1</v>
      </c>
      <c r="AA44" s="11">
        <f t="shared" si="6"/>
        <v>1</v>
      </c>
      <c r="AB44" s="10"/>
      <c r="AC44" s="11"/>
      <c r="AD44" s="11"/>
      <c r="AE44" s="11"/>
      <c r="AF44" s="11"/>
      <c r="AG44" s="11"/>
    </row>
    <row r="45" spans="1:33">
      <c r="A45" s="374" t="s">
        <v>15</v>
      </c>
      <c r="B45" s="375" t="s">
        <v>500</v>
      </c>
      <c r="C45" s="375"/>
      <c r="D45" s="375"/>
      <c r="E45" s="375"/>
      <c r="F45" s="375"/>
      <c r="G45" s="375"/>
      <c r="H45" s="375"/>
      <c r="I45" s="375"/>
      <c r="J45" s="375"/>
      <c r="K45" s="375"/>
      <c r="L45" s="375"/>
      <c r="M45" s="375"/>
      <c r="N45" s="375"/>
      <c r="O45" s="375"/>
      <c r="P45" s="375"/>
      <c r="Q45" s="375"/>
      <c r="R45" s="375"/>
      <c r="S45" s="375"/>
      <c r="T45" s="375"/>
      <c r="U45" s="375"/>
      <c r="V45" s="375" t="s">
        <v>465</v>
      </c>
      <c r="W45" s="375"/>
      <c r="X45" s="375"/>
      <c r="Y45" s="375"/>
      <c r="Z45" s="375"/>
      <c r="AA45" s="375"/>
      <c r="AB45" s="375"/>
      <c r="AC45" s="375"/>
      <c r="AD45" s="375"/>
      <c r="AE45" s="375"/>
      <c r="AF45" s="375"/>
      <c r="AG45" s="375"/>
    </row>
    <row r="46" spans="1:33">
      <c r="A46" s="374"/>
      <c r="B46" s="7" t="s">
        <v>64</v>
      </c>
      <c r="C46" s="7" t="s">
        <v>86</v>
      </c>
      <c r="D46" s="7" t="s">
        <v>89</v>
      </c>
      <c r="E46" s="7" t="s">
        <v>97</v>
      </c>
      <c r="F46" s="7" t="s">
        <v>125</v>
      </c>
      <c r="G46" s="7" t="s">
        <v>55</v>
      </c>
      <c r="H46" s="7"/>
      <c r="I46" s="7"/>
      <c r="J46" s="7"/>
      <c r="K46" s="7"/>
      <c r="L46" s="7"/>
      <c r="M46" s="7"/>
      <c r="N46" s="7"/>
      <c r="O46" s="7" t="s">
        <v>55</v>
      </c>
      <c r="P46" s="7" t="s">
        <v>56</v>
      </c>
      <c r="Q46" s="7" t="s">
        <v>27</v>
      </c>
      <c r="R46" s="7" t="s">
        <v>33</v>
      </c>
      <c r="S46" s="7" t="s">
        <v>43</v>
      </c>
      <c r="T46" s="7" t="s">
        <v>44</v>
      </c>
      <c r="U46" s="7" t="s">
        <v>61</v>
      </c>
      <c r="V46" s="7" t="s">
        <v>64</v>
      </c>
      <c r="W46" s="7" t="s">
        <v>86</v>
      </c>
      <c r="X46" s="7" t="s">
        <v>89</v>
      </c>
      <c r="Y46" s="7" t="s">
        <v>97</v>
      </c>
      <c r="Z46" s="7" t="s">
        <v>125</v>
      </c>
      <c r="AA46" s="7" t="s">
        <v>55</v>
      </c>
      <c r="AB46" s="7" t="s">
        <v>56</v>
      </c>
      <c r="AC46" s="7" t="s">
        <v>27</v>
      </c>
      <c r="AD46" s="7" t="s">
        <v>33</v>
      </c>
      <c r="AE46" s="7" t="s">
        <v>43</v>
      </c>
      <c r="AF46" s="7" t="s">
        <v>44</v>
      </c>
      <c r="AG46" s="7" t="s">
        <v>61</v>
      </c>
    </row>
    <row r="47" spans="1:33">
      <c r="A47" s="8" t="s">
        <v>535</v>
      </c>
      <c r="B47" s="80">
        <v>13544</v>
      </c>
      <c r="C47" s="27">
        <v>14506</v>
      </c>
      <c r="D47" s="27">
        <v>19461</v>
      </c>
      <c r="E47" s="27">
        <v>23079</v>
      </c>
      <c r="F47" s="27">
        <v>20911</v>
      </c>
      <c r="G47" s="27">
        <v>20215</v>
      </c>
      <c r="H47" s="27"/>
      <c r="I47" s="27"/>
      <c r="J47" s="27"/>
      <c r="K47" s="27"/>
      <c r="L47" s="27"/>
      <c r="M47" s="27"/>
      <c r="N47" s="27"/>
      <c r="O47" s="9"/>
      <c r="P47" s="9"/>
      <c r="Q47" s="9"/>
      <c r="R47" s="27"/>
      <c r="S47" s="27"/>
      <c r="T47" s="27"/>
      <c r="U47" s="27"/>
      <c r="V47" s="11">
        <v>0.99955699940933251</v>
      </c>
      <c r="W47" s="11">
        <v>0.99939999999999996</v>
      </c>
      <c r="X47" s="11">
        <f>1-(23/19461)</f>
        <v>0.99881814911875033</v>
      </c>
      <c r="Y47" s="11">
        <f>1-(12/E47)</f>
        <v>0.99948004679578839</v>
      </c>
      <c r="Z47" s="11">
        <f>1-(9/F47)</f>
        <v>0.99956960451437038</v>
      </c>
      <c r="AA47" s="11">
        <f>1-(21/G47)</f>
        <v>0.99896116744991348</v>
      </c>
      <c r="AB47" s="10"/>
      <c r="AC47" s="11"/>
      <c r="AD47" s="11"/>
      <c r="AE47" s="11"/>
      <c r="AF47" s="11"/>
      <c r="AG47" s="11"/>
    </row>
  </sheetData>
  <mergeCells count="23">
    <mergeCell ref="A1:AG1"/>
    <mergeCell ref="A2:A3"/>
    <mergeCell ref="B2:U2"/>
    <mergeCell ref="V2:AG2"/>
    <mergeCell ref="A10:AG10"/>
    <mergeCell ref="A45:A46"/>
    <mergeCell ref="B45:U45"/>
    <mergeCell ref="V45:AG45"/>
    <mergeCell ref="A31:AG31"/>
    <mergeCell ref="A32:A33"/>
    <mergeCell ref="B32:U32"/>
    <mergeCell ref="V32:AG32"/>
    <mergeCell ref="A40:AG40"/>
    <mergeCell ref="A11:A12"/>
    <mergeCell ref="B11:U11"/>
    <mergeCell ref="V11:AG11"/>
    <mergeCell ref="A41:A42"/>
    <mergeCell ref="B41:U41"/>
    <mergeCell ref="V41:AG41"/>
    <mergeCell ref="A20:AG20"/>
    <mergeCell ref="A21:A22"/>
    <mergeCell ref="B21:U21"/>
    <mergeCell ref="V21:AG21"/>
  </mergeCell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2C3B91-2B69-47D3-9CBA-AAB6D24713C3}">
  <sheetPr>
    <tabColor rgb="FF00B050"/>
  </sheetPr>
  <dimension ref="A1:AP174"/>
  <sheetViews>
    <sheetView topLeftCell="A118" zoomScale="90" zoomScaleNormal="90" workbookViewId="0">
      <pane xSplit="1" topLeftCell="B1" activePane="topRight" state="frozen"/>
      <selection activeCell="B5" sqref="B5:K5"/>
      <selection pane="topRight" activeCell="K124" sqref="K124"/>
    </sheetView>
  </sheetViews>
  <sheetFormatPr defaultRowHeight="15"/>
  <cols>
    <col min="1" max="1" width="29.28515625" bestFit="1" customWidth="1"/>
    <col min="2" max="3" width="16" customWidth="1"/>
    <col min="4" max="12" width="16" bestFit="1" customWidth="1"/>
    <col min="13" max="19" width="16" customWidth="1"/>
    <col min="20" max="20" width="16" bestFit="1" customWidth="1"/>
    <col min="21" max="22" width="16" customWidth="1"/>
    <col min="23" max="23" width="16" bestFit="1" customWidth="1"/>
    <col min="24" max="25" width="16" customWidth="1"/>
    <col min="26" max="27" width="16" bestFit="1" customWidth="1"/>
    <col min="28" max="28" width="16" hidden="1" customWidth="1"/>
    <col min="29" max="29" width="15.5703125" bestFit="1" customWidth="1"/>
    <col min="30" max="30" width="13.7109375" bestFit="1" customWidth="1"/>
    <col min="31" max="31" width="7.140625" bestFit="1" customWidth="1"/>
    <col min="32" max="32" width="18" bestFit="1" customWidth="1"/>
    <col min="33" max="33" width="18.140625" bestFit="1" customWidth="1"/>
    <col min="36" max="36" width="6.140625" bestFit="1" customWidth="1"/>
    <col min="37" max="37" width="19.140625" bestFit="1" customWidth="1"/>
    <col min="38" max="38" width="13.140625" bestFit="1" customWidth="1"/>
    <col min="39" max="39" width="17.7109375" bestFit="1" customWidth="1"/>
    <col min="40" max="40" width="21.5703125" bestFit="1" customWidth="1"/>
    <col min="41" max="41" width="53.140625" customWidth="1"/>
    <col min="42" max="42" width="72.85546875" customWidth="1"/>
  </cols>
  <sheetData>
    <row r="1" spans="1:42" ht="15.75">
      <c r="A1" s="71" t="s">
        <v>12</v>
      </c>
      <c r="B1" s="166">
        <v>45444</v>
      </c>
      <c r="C1" s="166">
        <f>B1+2</f>
        <v>45446</v>
      </c>
      <c r="D1" s="166">
        <f>C1+1</f>
        <v>45447</v>
      </c>
      <c r="E1" s="166">
        <f>D1+1</f>
        <v>45448</v>
      </c>
      <c r="F1" s="166">
        <f>E1+1</f>
        <v>45449</v>
      </c>
      <c r="G1" s="166">
        <f>F1+1</f>
        <v>45450</v>
      </c>
      <c r="H1" s="166">
        <f>G1+1</f>
        <v>45451</v>
      </c>
      <c r="I1" s="166">
        <f>H1+2</f>
        <v>45453</v>
      </c>
      <c r="J1" s="166">
        <f>I1+1</f>
        <v>45454</v>
      </c>
      <c r="K1" s="166">
        <f>J1+1</f>
        <v>45455</v>
      </c>
      <c r="L1" s="166">
        <f>K1+1</f>
        <v>45456</v>
      </c>
      <c r="M1" s="166">
        <f>L1+1</f>
        <v>45457</v>
      </c>
      <c r="N1" s="166">
        <f>M1+1</f>
        <v>45458</v>
      </c>
      <c r="O1" s="166">
        <f>N1+2</f>
        <v>45460</v>
      </c>
      <c r="P1" s="166">
        <f>O1+1</f>
        <v>45461</v>
      </c>
      <c r="Q1" s="166">
        <f>P1+1</f>
        <v>45462</v>
      </c>
      <c r="R1" s="166">
        <f>Q1+1</f>
        <v>45463</v>
      </c>
      <c r="S1" s="166">
        <f>R1+1</f>
        <v>45464</v>
      </c>
      <c r="T1" s="166">
        <f>S1+1</f>
        <v>45465</v>
      </c>
      <c r="U1" s="166">
        <f>T1+2</f>
        <v>45467</v>
      </c>
      <c r="V1" s="166">
        <f>U1+1</f>
        <v>45468</v>
      </c>
      <c r="W1" s="166">
        <f t="shared" ref="W1:AB1" si="0">V1+1</f>
        <v>45469</v>
      </c>
      <c r="X1" s="166">
        <f>W1+1</f>
        <v>45470</v>
      </c>
      <c r="Y1" s="166">
        <f t="shared" si="0"/>
        <v>45471</v>
      </c>
      <c r="Z1" s="166">
        <f>Y1+1</f>
        <v>45472</v>
      </c>
      <c r="AA1" s="72">
        <f t="shared" si="0"/>
        <v>45473</v>
      </c>
      <c r="AB1" s="72">
        <f t="shared" si="0"/>
        <v>45474</v>
      </c>
      <c r="AC1" s="72"/>
      <c r="AD1" s="167"/>
      <c r="AE1" s="167"/>
      <c r="AF1" s="167"/>
      <c r="AG1" s="167"/>
      <c r="AJ1" s="172" t="s">
        <v>182</v>
      </c>
      <c r="AK1" s="172" t="s">
        <v>183</v>
      </c>
      <c r="AL1" s="172" t="s">
        <v>184</v>
      </c>
      <c r="AM1" s="172" t="s">
        <v>185</v>
      </c>
      <c r="AN1" s="172" t="s">
        <v>186</v>
      </c>
      <c r="AO1" s="173" t="s">
        <v>187</v>
      </c>
      <c r="AP1" s="173" t="s">
        <v>896</v>
      </c>
    </row>
    <row r="2" spans="1:42">
      <c r="A2" s="152" t="s">
        <v>49</v>
      </c>
      <c r="B2" s="71" t="s">
        <v>20</v>
      </c>
      <c r="C2" s="71" t="s">
        <v>20</v>
      </c>
      <c r="D2" s="71" t="s">
        <v>20</v>
      </c>
      <c r="E2" s="71" t="s">
        <v>20</v>
      </c>
      <c r="F2" s="71" t="s">
        <v>20</v>
      </c>
      <c r="G2" s="71" t="s">
        <v>20</v>
      </c>
      <c r="H2" s="71" t="s">
        <v>20</v>
      </c>
      <c r="I2" s="71" t="s">
        <v>20</v>
      </c>
      <c r="J2" s="71" t="s">
        <v>20</v>
      </c>
      <c r="K2" s="71" t="s">
        <v>20</v>
      </c>
      <c r="L2" s="71" t="s">
        <v>20</v>
      </c>
      <c r="M2" s="71" t="s">
        <v>20</v>
      </c>
      <c r="N2" s="71" t="s">
        <v>20</v>
      </c>
      <c r="O2" s="71" t="s">
        <v>20</v>
      </c>
      <c r="P2" s="71" t="s">
        <v>20</v>
      </c>
      <c r="Q2" s="71" t="s">
        <v>20</v>
      </c>
      <c r="R2" s="71" t="s">
        <v>20</v>
      </c>
      <c r="S2" s="71" t="s">
        <v>20</v>
      </c>
      <c r="T2" s="71" t="s">
        <v>20</v>
      </c>
      <c r="U2" s="71" t="s">
        <v>20</v>
      </c>
      <c r="V2" s="71" t="s">
        <v>20</v>
      </c>
      <c r="W2" s="71" t="s">
        <v>20</v>
      </c>
      <c r="X2" s="71" t="s">
        <v>20</v>
      </c>
      <c r="Y2" s="71" t="s">
        <v>20</v>
      </c>
      <c r="Z2" s="71" t="s">
        <v>20</v>
      </c>
      <c r="AA2" s="71" t="s">
        <v>20</v>
      </c>
      <c r="AB2" s="71" t="s">
        <v>20</v>
      </c>
      <c r="AC2" s="71" t="s">
        <v>552</v>
      </c>
      <c r="AD2" s="71" t="s">
        <v>71</v>
      </c>
      <c r="AE2" s="71" t="s">
        <v>72</v>
      </c>
      <c r="AF2" s="71" t="s">
        <v>179</v>
      </c>
      <c r="AG2" s="71" t="s">
        <v>180</v>
      </c>
      <c r="AJ2" s="108">
        <v>1</v>
      </c>
      <c r="AK2" s="174">
        <v>45005</v>
      </c>
      <c r="AL2" s="108" t="s">
        <v>188</v>
      </c>
      <c r="AM2" s="108" t="s">
        <v>94</v>
      </c>
      <c r="AN2" s="108" t="s">
        <v>54</v>
      </c>
      <c r="AO2" s="108" t="s">
        <v>189</v>
      </c>
      <c r="AP2" s="108"/>
    </row>
    <row r="3" spans="1:42">
      <c r="A3" s="12" t="s">
        <v>50</v>
      </c>
      <c r="B3" s="5"/>
      <c r="C3" s="4">
        <v>47</v>
      </c>
      <c r="D3" s="4">
        <v>71</v>
      </c>
      <c r="E3" s="4">
        <v>70</v>
      </c>
      <c r="F3" s="4">
        <v>66</v>
      </c>
      <c r="G3" s="4">
        <v>82</v>
      </c>
      <c r="H3" s="4"/>
      <c r="I3" s="5">
        <v>49</v>
      </c>
      <c r="J3" s="4">
        <v>70</v>
      </c>
      <c r="K3" s="5">
        <v>68</v>
      </c>
      <c r="L3" s="5">
        <v>56</v>
      </c>
      <c r="M3" s="4">
        <v>61</v>
      </c>
      <c r="N3" s="4"/>
      <c r="O3" s="5">
        <v>66</v>
      </c>
      <c r="P3" s="4">
        <v>67</v>
      </c>
      <c r="Q3" s="4">
        <v>56</v>
      </c>
      <c r="R3" s="4">
        <v>67</v>
      </c>
      <c r="S3" s="4">
        <v>68</v>
      </c>
      <c r="T3" s="4"/>
      <c r="U3" s="4">
        <v>55</v>
      </c>
      <c r="V3" s="4">
        <v>82</v>
      </c>
      <c r="W3" s="4">
        <v>70</v>
      </c>
      <c r="X3" s="4"/>
      <c r="Y3" s="4">
        <v>64</v>
      </c>
      <c r="Z3" s="92"/>
      <c r="AA3" s="92"/>
      <c r="AB3" s="92"/>
      <c r="AC3" s="168">
        <f>SUM(B3:AB3)</f>
        <v>1235</v>
      </c>
      <c r="AD3" s="5">
        <f>COUNTA(B3:AB3)</f>
        <v>19</v>
      </c>
      <c r="AE3" s="26">
        <f t="shared" ref="AE3:AE13" si="1">AC3/AD3</f>
        <v>65</v>
      </c>
      <c r="AF3" s="4">
        <v>0</v>
      </c>
      <c r="AG3" s="73">
        <f t="shared" ref="AG3:AG12" si="2">1-(AF3/AC3)</f>
        <v>1</v>
      </c>
      <c r="AJ3" s="108">
        <v>2</v>
      </c>
      <c r="AK3" s="174">
        <v>45001</v>
      </c>
      <c r="AL3" s="108" t="s">
        <v>190</v>
      </c>
      <c r="AM3" s="108" t="s">
        <v>94</v>
      </c>
      <c r="AN3" s="108" t="s">
        <v>52</v>
      </c>
      <c r="AO3" s="108" t="s">
        <v>189</v>
      </c>
      <c r="AP3" s="108"/>
    </row>
    <row r="4" spans="1:42">
      <c r="A4" s="12" t="s">
        <v>51</v>
      </c>
      <c r="B4" s="5"/>
      <c r="C4" s="4"/>
      <c r="D4" s="5">
        <v>130</v>
      </c>
      <c r="E4" s="4">
        <v>131</v>
      </c>
      <c r="F4" s="4">
        <v>130</v>
      </c>
      <c r="G4" s="4">
        <v>122</v>
      </c>
      <c r="H4" s="4"/>
      <c r="I4" s="5">
        <v>120</v>
      </c>
      <c r="J4" s="4">
        <v>130</v>
      </c>
      <c r="K4" s="5">
        <v>130</v>
      </c>
      <c r="L4" s="5">
        <v>113</v>
      </c>
      <c r="M4" s="4">
        <v>95</v>
      </c>
      <c r="N4" s="4">
        <v>130</v>
      </c>
      <c r="O4" s="5">
        <v>91</v>
      </c>
      <c r="P4" s="4">
        <v>111</v>
      </c>
      <c r="Q4" s="4">
        <v>117</v>
      </c>
      <c r="R4" s="4">
        <v>115</v>
      </c>
      <c r="S4" s="4"/>
      <c r="T4" s="4">
        <v>126</v>
      </c>
      <c r="U4" s="4">
        <v>116</v>
      </c>
      <c r="V4" s="4">
        <v>115</v>
      </c>
      <c r="W4" s="4">
        <v>100</v>
      </c>
      <c r="X4" s="4">
        <v>110</v>
      </c>
      <c r="Y4" s="4">
        <v>110</v>
      </c>
      <c r="Z4" s="92"/>
      <c r="AA4" s="92"/>
      <c r="AB4" s="92"/>
      <c r="AC4" s="168">
        <f t="shared" ref="AC4:AC12" si="3">SUM(B4:AB4)</f>
        <v>2342</v>
      </c>
      <c r="AD4" s="5">
        <f t="shared" ref="AD4:AD7" si="4">COUNTA(B4:AB4)</f>
        <v>20</v>
      </c>
      <c r="AE4" s="26">
        <f t="shared" si="1"/>
        <v>117.1</v>
      </c>
      <c r="AF4" s="4">
        <v>1</v>
      </c>
      <c r="AG4" s="73">
        <f t="shared" si="2"/>
        <v>0.99957301451750635</v>
      </c>
      <c r="AJ4" s="108">
        <v>3</v>
      </c>
      <c r="AK4" s="174">
        <v>45002</v>
      </c>
      <c r="AL4" s="108" t="s">
        <v>191</v>
      </c>
      <c r="AM4" s="175">
        <v>44896</v>
      </c>
      <c r="AN4" s="108" t="s">
        <v>50</v>
      </c>
      <c r="AO4" s="108" t="s">
        <v>192</v>
      </c>
      <c r="AP4" s="108"/>
    </row>
    <row r="5" spans="1:42">
      <c r="A5" s="12" t="s">
        <v>52</v>
      </c>
      <c r="B5" s="5"/>
      <c r="C5" s="4"/>
      <c r="D5" s="5">
        <v>130</v>
      </c>
      <c r="E5" s="4">
        <v>131</v>
      </c>
      <c r="F5" s="4">
        <v>130</v>
      </c>
      <c r="G5" s="4">
        <v>130</v>
      </c>
      <c r="H5" s="4">
        <v>130</v>
      </c>
      <c r="I5" s="5">
        <v>130</v>
      </c>
      <c r="J5" s="4">
        <v>131</v>
      </c>
      <c r="K5" s="5">
        <v>130</v>
      </c>
      <c r="L5" s="5">
        <v>100</v>
      </c>
      <c r="M5" s="4">
        <v>110</v>
      </c>
      <c r="N5" s="4">
        <v>30</v>
      </c>
      <c r="O5" s="5">
        <v>130</v>
      </c>
      <c r="P5" s="4">
        <v>130</v>
      </c>
      <c r="Q5" s="4">
        <v>130</v>
      </c>
      <c r="R5" s="4">
        <v>131</v>
      </c>
      <c r="S5" s="4">
        <v>130</v>
      </c>
      <c r="T5" s="4"/>
      <c r="U5" s="4">
        <v>130</v>
      </c>
      <c r="V5" s="4">
        <v>130</v>
      </c>
      <c r="W5" s="4">
        <v>115</v>
      </c>
      <c r="X5" s="4">
        <v>109</v>
      </c>
      <c r="Y5" s="4">
        <v>130</v>
      </c>
      <c r="Z5" s="92">
        <v>15</v>
      </c>
      <c r="AA5" s="92"/>
      <c r="AB5" s="92"/>
      <c r="AC5" s="168">
        <f t="shared" si="3"/>
        <v>2562</v>
      </c>
      <c r="AD5" s="5">
        <f>COUNTA(B5:AB5)-1</f>
        <v>21</v>
      </c>
      <c r="AE5" s="26">
        <f t="shared" si="1"/>
        <v>122</v>
      </c>
      <c r="AF5" s="4">
        <v>1</v>
      </c>
      <c r="AG5" s="73">
        <f t="shared" si="2"/>
        <v>0.99960967993754879</v>
      </c>
      <c r="AJ5" s="108">
        <v>4</v>
      </c>
      <c r="AK5" s="174">
        <v>45002</v>
      </c>
      <c r="AL5" s="108" t="s">
        <v>193</v>
      </c>
      <c r="AM5" s="175">
        <v>44896</v>
      </c>
      <c r="AN5" s="108" t="s">
        <v>50</v>
      </c>
      <c r="AO5" s="108" t="s">
        <v>194</v>
      </c>
      <c r="AP5" s="108"/>
    </row>
    <row r="6" spans="1:42">
      <c r="A6" s="12" t="s">
        <v>53</v>
      </c>
      <c r="B6" s="5"/>
      <c r="C6" s="4">
        <v>130</v>
      </c>
      <c r="D6" s="5">
        <v>130</v>
      </c>
      <c r="E6" s="4">
        <v>130</v>
      </c>
      <c r="F6" s="4">
        <v>130</v>
      </c>
      <c r="G6" s="4">
        <v>130</v>
      </c>
      <c r="H6" s="4"/>
      <c r="I6" s="5"/>
      <c r="J6" s="4">
        <v>130</v>
      </c>
      <c r="K6" s="5">
        <v>130</v>
      </c>
      <c r="L6" s="5">
        <v>130</v>
      </c>
      <c r="M6" s="4">
        <v>130</v>
      </c>
      <c r="N6" s="4">
        <v>130</v>
      </c>
      <c r="O6" s="5">
        <v>130</v>
      </c>
      <c r="P6" s="4">
        <v>130</v>
      </c>
      <c r="Q6" s="4">
        <v>130</v>
      </c>
      <c r="R6" s="4">
        <v>130</v>
      </c>
      <c r="S6" s="4">
        <v>130</v>
      </c>
      <c r="T6" s="4"/>
      <c r="U6" s="4">
        <v>130</v>
      </c>
      <c r="V6" s="4">
        <v>130</v>
      </c>
      <c r="W6" s="4">
        <v>130</v>
      </c>
      <c r="X6" s="4">
        <v>110</v>
      </c>
      <c r="Y6" s="4">
        <v>130</v>
      </c>
      <c r="Z6" s="92"/>
      <c r="AA6" s="92"/>
      <c r="AB6" s="92"/>
      <c r="AC6" s="168">
        <f t="shared" si="3"/>
        <v>2580</v>
      </c>
      <c r="AD6" s="5">
        <f t="shared" si="4"/>
        <v>20</v>
      </c>
      <c r="AE6" s="26">
        <f t="shared" si="1"/>
        <v>129</v>
      </c>
      <c r="AF6" s="4">
        <v>2</v>
      </c>
      <c r="AG6" s="73">
        <f t="shared" si="2"/>
        <v>0.99922480620155041</v>
      </c>
      <c r="AJ6" s="108">
        <v>5</v>
      </c>
      <c r="AK6" s="174">
        <v>45002</v>
      </c>
      <c r="AL6" s="108" t="s">
        <v>195</v>
      </c>
      <c r="AM6" s="108" t="s">
        <v>96</v>
      </c>
      <c r="AN6" s="108" t="s">
        <v>54</v>
      </c>
      <c r="AO6" s="108" t="s">
        <v>189</v>
      </c>
      <c r="AP6" s="108"/>
    </row>
    <row r="7" spans="1:42">
      <c r="A7" s="12" t="s">
        <v>54</v>
      </c>
      <c r="B7" s="5"/>
      <c r="C7" s="4"/>
      <c r="D7" s="5"/>
      <c r="E7" s="4"/>
      <c r="F7" s="4"/>
      <c r="G7" s="4"/>
      <c r="H7" s="4"/>
      <c r="I7" s="5"/>
      <c r="J7" s="4"/>
      <c r="K7" s="5"/>
      <c r="L7" s="5"/>
      <c r="M7" s="4"/>
      <c r="N7" s="4"/>
      <c r="O7" s="5">
        <v>98</v>
      </c>
      <c r="P7" s="4"/>
      <c r="Q7" s="4">
        <v>90</v>
      </c>
      <c r="R7" s="4">
        <v>97</v>
      </c>
      <c r="S7" s="4">
        <v>130</v>
      </c>
      <c r="T7" s="4">
        <v>130</v>
      </c>
      <c r="U7" s="5">
        <v>90</v>
      </c>
      <c r="V7" s="4">
        <v>90</v>
      </c>
      <c r="W7" s="4">
        <v>90</v>
      </c>
      <c r="X7" s="4">
        <v>90</v>
      </c>
      <c r="Y7" s="4">
        <v>90</v>
      </c>
      <c r="Z7" s="92"/>
      <c r="AA7" s="92"/>
      <c r="AB7" s="92"/>
      <c r="AC7" s="168">
        <f t="shared" si="3"/>
        <v>995</v>
      </c>
      <c r="AD7" s="5">
        <f t="shared" si="4"/>
        <v>10</v>
      </c>
      <c r="AE7" s="26">
        <f t="shared" si="1"/>
        <v>99.5</v>
      </c>
      <c r="AF7" s="4">
        <v>2</v>
      </c>
      <c r="AG7" s="73">
        <f t="shared" si="2"/>
        <v>0.99798994974874367</v>
      </c>
      <c r="AJ7" s="108">
        <v>6</v>
      </c>
      <c r="AK7" s="174">
        <v>45002</v>
      </c>
      <c r="AL7" s="108" t="s">
        <v>196</v>
      </c>
      <c r="AM7" s="108" t="s">
        <v>94</v>
      </c>
      <c r="AN7" s="108" t="s">
        <v>109</v>
      </c>
      <c r="AO7" s="108" t="s">
        <v>189</v>
      </c>
      <c r="AP7" s="108"/>
    </row>
    <row r="8" spans="1:42">
      <c r="A8" s="12" t="s">
        <v>137</v>
      </c>
      <c r="B8" s="5"/>
      <c r="C8" s="4">
        <v>131</v>
      </c>
      <c r="D8" s="5">
        <v>130</v>
      </c>
      <c r="E8" s="4">
        <v>131</v>
      </c>
      <c r="F8" s="4">
        <v>130</v>
      </c>
      <c r="G8" s="4">
        <v>130</v>
      </c>
      <c r="H8" s="4"/>
      <c r="I8" s="5">
        <v>130</v>
      </c>
      <c r="J8" s="4">
        <v>133</v>
      </c>
      <c r="K8" s="5">
        <v>130</v>
      </c>
      <c r="L8" s="5">
        <v>131</v>
      </c>
      <c r="M8" s="4">
        <v>130</v>
      </c>
      <c r="N8" s="4"/>
      <c r="O8" s="5"/>
      <c r="P8" s="4">
        <v>110</v>
      </c>
      <c r="Q8" s="4">
        <v>130</v>
      </c>
      <c r="R8" s="4">
        <v>70</v>
      </c>
      <c r="S8" s="4">
        <v>130</v>
      </c>
      <c r="T8" s="4">
        <v>132</v>
      </c>
      <c r="U8" s="4">
        <v>131</v>
      </c>
      <c r="V8" s="4"/>
      <c r="W8" s="4"/>
      <c r="X8" s="4">
        <v>105</v>
      </c>
      <c r="Y8" s="4">
        <v>130</v>
      </c>
      <c r="Z8" s="92">
        <v>132</v>
      </c>
      <c r="AA8" s="92"/>
      <c r="AB8" s="92"/>
      <c r="AC8" s="168">
        <f t="shared" si="3"/>
        <v>2376</v>
      </c>
      <c r="AD8" s="5">
        <f>COUNTA(B8:AB8)-0.5</f>
        <v>18.5</v>
      </c>
      <c r="AE8" s="26">
        <f t="shared" si="1"/>
        <v>128.43243243243242</v>
      </c>
      <c r="AF8" s="4">
        <v>2</v>
      </c>
      <c r="AG8" s="73">
        <f t="shared" si="2"/>
        <v>0.99915824915824913</v>
      </c>
      <c r="AJ8" s="108">
        <v>7</v>
      </c>
      <c r="AK8" s="174">
        <v>45002</v>
      </c>
      <c r="AL8" s="108" t="s">
        <v>197</v>
      </c>
      <c r="AM8" s="108" t="s">
        <v>94</v>
      </c>
      <c r="AN8" s="108" t="s">
        <v>109</v>
      </c>
      <c r="AO8" s="108" t="s">
        <v>189</v>
      </c>
      <c r="AP8" s="108"/>
    </row>
    <row r="9" spans="1:42">
      <c r="A9" s="12" t="s">
        <v>601</v>
      </c>
      <c r="B9" s="5"/>
      <c r="C9" s="4">
        <v>112</v>
      </c>
      <c r="D9" s="5">
        <v>130</v>
      </c>
      <c r="E9" s="4">
        <v>130</v>
      </c>
      <c r="F9" s="4">
        <v>140</v>
      </c>
      <c r="G9" s="4"/>
      <c r="H9" s="4">
        <v>131</v>
      </c>
      <c r="I9" s="5">
        <v>131</v>
      </c>
      <c r="J9" s="4">
        <v>130</v>
      </c>
      <c r="K9" s="5">
        <v>110</v>
      </c>
      <c r="L9" s="5">
        <v>130</v>
      </c>
      <c r="M9" s="4">
        <v>132</v>
      </c>
      <c r="N9" s="4"/>
      <c r="O9" s="5">
        <v>130</v>
      </c>
      <c r="P9" s="4">
        <v>130</v>
      </c>
      <c r="Q9" s="4">
        <v>130</v>
      </c>
      <c r="R9" s="4">
        <v>131</v>
      </c>
      <c r="S9" s="4">
        <v>131</v>
      </c>
      <c r="T9" s="4"/>
      <c r="U9" s="4">
        <v>131</v>
      </c>
      <c r="V9" s="4">
        <v>132</v>
      </c>
      <c r="W9" s="4">
        <v>132</v>
      </c>
      <c r="X9" s="4">
        <v>113</v>
      </c>
      <c r="Y9" s="4">
        <v>130</v>
      </c>
      <c r="Z9" s="92"/>
      <c r="AA9" s="92"/>
      <c r="AB9" s="92"/>
      <c r="AC9" s="168">
        <f t="shared" si="3"/>
        <v>2566</v>
      </c>
      <c r="AD9" s="5">
        <f>COUNTA(B9:AB9)</f>
        <v>20</v>
      </c>
      <c r="AE9" s="26">
        <f t="shared" si="1"/>
        <v>128.30000000000001</v>
      </c>
      <c r="AF9" s="4">
        <v>2</v>
      </c>
      <c r="AG9" s="73">
        <f t="shared" si="2"/>
        <v>0.99922057677318787</v>
      </c>
      <c r="AJ9" s="108">
        <v>8</v>
      </c>
      <c r="AK9" s="174">
        <v>45019</v>
      </c>
      <c r="AL9" s="108" t="s">
        <v>198</v>
      </c>
      <c r="AM9" s="108" t="s">
        <v>95</v>
      </c>
      <c r="AN9" s="108" t="s">
        <v>199</v>
      </c>
      <c r="AO9" s="108" t="s">
        <v>189</v>
      </c>
      <c r="AP9" s="108"/>
    </row>
    <row r="10" spans="1:42">
      <c r="A10" s="12" t="s">
        <v>602</v>
      </c>
      <c r="B10" s="5"/>
      <c r="C10" s="4">
        <v>107</v>
      </c>
      <c r="D10" s="5"/>
      <c r="E10" s="4">
        <v>130</v>
      </c>
      <c r="F10" s="4">
        <v>130</v>
      </c>
      <c r="G10" s="4">
        <v>130</v>
      </c>
      <c r="H10" s="4">
        <v>130</v>
      </c>
      <c r="I10" s="5">
        <v>130</v>
      </c>
      <c r="J10" s="4">
        <v>130</v>
      </c>
      <c r="K10" s="5">
        <v>102</v>
      </c>
      <c r="L10" s="5">
        <v>130</v>
      </c>
      <c r="M10" s="4">
        <v>130</v>
      </c>
      <c r="N10" s="4"/>
      <c r="O10" s="5">
        <v>130</v>
      </c>
      <c r="P10" s="4">
        <v>130</v>
      </c>
      <c r="Q10" s="4">
        <v>130</v>
      </c>
      <c r="R10" s="4">
        <v>130</v>
      </c>
      <c r="S10" s="4">
        <v>130</v>
      </c>
      <c r="T10" s="4"/>
      <c r="U10" s="4">
        <v>124</v>
      </c>
      <c r="V10" s="4">
        <v>131</v>
      </c>
      <c r="W10" s="4">
        <v>130</v>
      </c>
      <c r="X10" s="4">
        <v>116</v>
      </c>
      <c r="Y10" s="4"/>
      <c r="Z10" s="92">
        <v>130</v>
      </c>
      <c r="AA10" s="92"/>
      <c r="AB10" s="92"/>
      <c r="AC10" s="168">
        <f t="shared" si="3"/>
        <v>2530</v>
      </c>
      <c r="AD10" s="5">
        <f>COUNTA(B10:AB10)</f>
        <v>20</v>
      </c>
      <c r="AE10" s="26">
        <f t="shared" si="1"/>
        <v>126.5</v>
      </c>
      <c r="AF10" s="4">
        <v>9</v>
      </c>
      <c r="AG10" s="73">
        <f t="shared" si="2"/>
        <v>0.99644268774703559</v>
      </c>
      <c r="AJ10" s="108">
        <v>9</v>
      </c>
      <c r="AK10" s="174">
        <v>45019</v>
      </c>
      <c r="AL10" s="108" t="s">
        <v>200</v>
      </c>
      <c r="AM10" s="108" t="s">
        <v>94</v>
      </c>
      <c r="AN10" s="108" t="s">
        <v>54</v>
      </c>
      <c r="AO10" s="108" t="s">
        <v>189</v>
      </c>
      <c r="AP10" s="108"/>
    </row>
    <row r="11" spans="1:42">
      <c r="A11" s="12" t="s">
        <v>633</v>
      </c>
      <c r="B11" s="5">
        <v>130</v>
      </c>
      <c r="C11" s="4">
        <v>130</v>
      </c>
      <c r="D11" s="5">
        <v>130</v>
      </c>
      <c r="E11" s="4">
        <v>130</v>
      </c>
      <c r="F11" s="4">
        <v>130</v>
      </c>
      <c r="G11" s="4">
        <v>130</v>
      </c>
      <c r="H11" s="4"/>
      <c r="I11" s="5"/>
      <c r="J11" s="4">
        <v>130</v>
      </c>
      <c r="K11" s="5">
        <v>130</v>
      </c>
      <c r="L11" s="5">
        <v>130</v>
      </c>
      <c r="M11" s="4">
        <v>122</v>
      </c>
      <c r="N11" s="4"/>
      <c r="O11" s="5">
        <v>120</v>
      </c>
      <c r="P11" s="4">
        <v>131</v>
      </c>
      <c r="Q11" s="4">
        <v>131</v>
      </c>
      <c r="R11" s="4">
        <v>130</v>
      </c>
      <c r="S11" s="4">
        <v>132</v>
      </c>
      <c r="T11" s="4"/>
      <c r="U11" s="4">
        <v>130</v>
      </c>
      <c r="V11" s="4">
        <v>131</v>
      </c>
      <c r="W11" s="4">
        <v>120</v>
      </c>
      <c r="X11" s="4">
        <v>112</v>
      </c>
      <c r="Y11" s="4">
        <v>130</v>
      </c>
      <c r="Z11" s="92"/>
      <c r="AA11" s="92"/>
      <c r="AB11" s="92"/>
      <c r="AC11" s="168">
        <f t="shared" ref="AC11" si="5">SUM(B11:AB11)</f>
        <v>2559</v>
      </c>
      <c r="AD11" s="5">
        <f>COUNTA(B11:AB11)</f>
        <v>20</v>
      </c>
      <c r="AE11" s="26">
        <f t="shared" si="1"/>
        <v>127.95</v>
      </c>
      <c r="AF11" s="4">
        <v>2</v>
      </c>
      <c r="AG11" s="73">
        <f t="shared" si="2"/>
        <v>0.9992184447049629</v>
      </c>
      <c r="AJ11" s="108">
        <v>10</v>
      </c>
      <c r="AK11" s="174">
        <v>45020</v>
      </c>
      <c r="AL11" s="108" t="s">
        <v>200</v>
      </c>
      <c r="AM11" s="108" t="s">
        <v>94</v>
      </c>
      <c r="AN11" s="108" t="s">
        <v>54</v>
      </c>
      <c r="AO11" s="108" t="s">
        <v>189</v>
      </c>
      <c r="AP11" s="108"/>
    </row>
    <row r="12" spans="1:42">
      <c r="A12" s="12" t="s">
        <v>634</v>
      </c>
      <c r="B12" s="5">
        <v>50</v>
      </c>
      <c r="C12" s="4">
        <v>50</v>
      </c>
      <c r="D12" s="5"/>
      <c r="E12" s="4"/>
      <c r="F12" s="4">
        <v>42</v>
      </c>
      <c r="G12" s="4">
        <v>50</v>
      </c>
      <c r="H12" s="4">
        <v>50</v>
      </c>
      <c r="I12" s="5"/>
      <c r="J12" s="4">
        <v>50</v>
      </c>
      <c r="K12" s="5">
        <v>43</v>
      </c>
      <c r="L12" s="5">
        <v>43</v>
      </c>
      <c r="M12" s="4">
        <v>40</v>
      </c>
      <c r="N12" s="4">
        <v>40</v>
      </c>
      <c r="O12" s="5">
        <v>12</v>
      </c>
      <c r="P12" s="4"/>
      <c r="Q12" s="4"/>
      <c r="R12" s="4"/>
      <c r="S12" s="4"/>
      <c r="T12" s="4"/>
      <c r="U12" s="4"/>
      <c r="V12" s="4"/>
      <c r="W12" s="4"/>
      <c r="X12" s="4"/>
      <c r="Y12" s="4"/>
      <c r="Z12" s="92"/>
      <c r="AA12" s="92"/>
      <c r="AB12" s="92"/>
      <c r="AC12" s="168">
        <f t="shared" si="3"/>
        <v>470</v>
      </c>
      <c r="AD12" s="5">
        <f>COUNTA(B12:AB12)-1</f>
        <v>10</v>
      </c>
      <c r="AE12" s="26">
        <f t="shared" si="1"/>
        <v>47</v>
      </c>
      <c r="AF12" s="4">
        <v>0</v>
      </c>
      <c r="AG12" s="73">
        <f t="shared" si="2"/>
        <v>1</v>
      </c>
      <c r="AJ12" s="108">
        <v>11</v>
      </c>
      <c r="AK12" s="174">
        <v>45026</v>
      </c>
      <c r="AL12" s="108" t="s">
        <v>201</v>
      </c>
      <c r="AM12" s="108" t="s">
        <v>94</v>
      </c>
      <c r="AN12" s="108" t="s">
        <v>51</v>
      </c>
      <c r="AO12" s="108" t="s">
        <v>192</v>
      </c>
      <c r="AP12" s="108"/>
    </row>
    <row r="13" spans="1:42">
      <c r="A13" s="153" t="s">
        <v>1</v>
      </c>
      <c r="B13" s="71">
        <f>SUM(B3:B12)</f>
        <v>180</v>
      </c>
      <c r="C13" s="71">
        <f t="shared" ref="C13:AB13" si="6">SUM(C3:C12)</f>
        <v>707</v>
      </c>
      <c r="D13" s="71">
        <f t="shared" si="6"/>
        <v>851</v>
      </c>
      <c r="E13" s="71">
        <f t="shared" si="6"/>
        <v>983</v>
      </c>
      <c r="F13" s="71">
        <f t="shared" si="6"/>
        <v>1028</v>
      </c>
      <c r="G13" s="71">
        <f t="shared" si="6"/>
        <v>904</v>
      </c>
      <c r="H13" s="71">
        <f t="shared" si="6"/>
        <v>441</v>
      </c>
      <c r="I13" s="71">
        <f t="shared" si="6"/>
        <v>690</v>
      </c>
      <c r="J13" s="71">
        <f t="shared" si="6"/>
        <v>1034</v>
      </c>
      <c r="K13" s="71">
        <f t="shared" si="6"/>
        <v>973</v>
      </c>
      <c r="L13" s="71">
        <f t="shared" si="6"/>
        <v>963</v>
      </c>
      <c r="M13" s="71">
        <f t="shared" si="6"/>
        <v>950</v>
      </c>
      <c r="N13" s="71">
        <f t="shared" si="6"/>
        <v>330</v>
      </c>
      <c r="O13" s="71">
        <f t="shared" si="6"/>
        <v>907</v>
      </c>
      <c r="P13" s="71">
        <v>932</v>
      </c>
      <c r="Q13" s="71">
        <f t="shared" si="6"/>
        <v>1044</v>
      </c>
      <c r="R13" s="71">
        <f t="shared" si="6"/>
        <v>1001</v>
      </c>
      <c r="S13" s="71">
        <f t="shared" si="6"/>
        <v>981</v>
      </c>
      <c r="T13" s="71">
        <f t="shared" si="6"/>
        <v>388</v>
      </c>
      <c r="U13" s="71">
        <f t="shared" si="6"/>
        <v>1037</v>
      </c>
      <c r="V13" s="71">
        <f t="shared" si="6"/>
        <v>941</v>
      </c>
      <c r="W13" s="71">
        <f t="shared" si="6"/>
        <v>887</v>
      </c>
      <c r="X13" s="71">
        <f t="shared" si="6"/>
        <v>865</v>
      </c>
      <c r="Y13" s="71">
        <f t="shared" si="6"/>
        <v>914</v>
      </c>
      <c r="Z13" s="71">
        <f t="shared" si="6"/>
        <v>277</v>
      </c>
      <c r="AA13" s="71">
        <f t="shared" si="6"/>
        <v>0</v>
      </c>
      <c r="AB13" s="71">
        <f t="shared" si="6"/>
        <v>0</v>
      </c>
      <c r="AC13" s="169">
        <f>SUM(AC3:AC12)</f>
        <v>20215</v>
      </c>
      <c r="AD13" s="170">
        <f>SUM(AD3:AD12)</f>
        <v>178.5</v>
      </c>
      <c r="AE13" s="171">
        <f t="shared" si="1"/>
        <v>113.24929971988796</v>
      </c>
      <c r="AF13" s="71">
        <f>SUM(AF3:AF12)</f>
        <v>21</v>
      </c>
      <c r="AG13" s="154">
        <f>1-(AF13/AC13)</f>
        <v>0.99896116744991348</v>
      </c>
      <c r="AJ13" s="108">
        <v>12</v>
      </c>
      <c r="AK13" s="174">
        <v>45050</v>
      </c>
      <c r="AL13" s="108" t="s">
        <v>202</v>
      </c>
      <c r="AM13" s="108" t="s">
        <v>96</v>
      </c>
      <c r="AN13" s="108" t="s">
        <v>50</v>
      </c>
      <c r="AO13" s="108" t="s">
        <v>189</v>
      </c>
      <c r="AP13" s="108"/>
    </row>
    <row r="14" spans="1:42">
      <c r="AJ14" s="108">
        <v>13</v>
      </c>
      <c r="AK14" s="174">
        <v>45052</v>
      </c>
      <c r="AL14" s="108" t="s">
        <v>203</v>
      </c>
      <c r="AM14" s="108" t="s">
        <v>204</v>
      </c>
      <c r="AN14" s="108" t="s">
        <v>50</v>
      </c>
      <c r="AO14" s="108" t="s">
        <v>189</v>
      </c>
      <c r="AP14" s="108"/>
    </row>
    <row r="15" spans="1:42" ht="15.75" thickBot="1">
      <c r="O15" s="20"/>
      <c r="AJ15" s="108">
        <v>14</v>
      </c>
      <c r="AK15" s="174">
        <v>45064</v>
      </c>
      <c r="AL15" s="108" t="s">
        <v>205</v>
      </c>
      <c r="AM15" s="108" t="s">
        <v>125</v>
      </c>
      <c r="AN15" s="108" t="s">
        <v>51</v>
      </c>
      <c r="AO15" s="108" t="s">
        <v>192</v>
      </c>
      <c r="AP15" s="108"/>
    </row>
    <row r="16" spans="1:42" ht="24" thickBot="1">
      <c r="A16" s="283">
        <v>45446</v>
      </c>
      <c r="B16" s="284"/>
      <c r="C16" s="413" t="s">
        <v>102</v>
      </c>
      <c r="D16" s="414"/>
      <c r="E16" s="413" t="s">
        <v>107</v>
      </c>
      <c r="F16" s="414"/>
      <c r="G16" s="413" t="s">
        <v>108</v>
      </c>
      <c r="H16" s="414"/>
      <c r="I16" s="413" t="s">
        <v>109</v>
      </c>
      <c r="J16" s="414"/>
      <c r="K16" s="413" t="s">
        <v>110</v>
      </c>
      <c r="L16" s="414"/>
      <c r="M16" s="413" t="s">
        <v>181</v>
      </c>
      <c r="N16" s="415"/>
      <c r="O16" s="416" t="s">
        <v>644</v>
      </c>
      <c r="P16" s="415"/>
      <c r="Q16" s="416" t="s">
        <v>603</v>
      </c>
      <c r="R16" s="415"/>
      <c r="S16" s="416" t="s">
        <v>663</v>
      </c>
      <c r="T16" s="415"/>
      <c r="U16" s="20"/>
      <c r="AJ16" s="108">
        <v>15</v>
      </c>
      <c r="AK16" s="174">
        <v>45064</v>
      </c>
      <c r="AL16" s="108" t="s">
        <v>206</v>
      </c>
      <c r="AM16" s="108" t="s">
        <v>125</v>
      </c>
      <c r="AN16" s="108" t="s">
        <v>51</v>
      </c>
      <c r="AO16" s="108" t="s">
        <v>189</v>
      </c>
      <c r="AP16" s="108"/>
    </row>
    <row r="17" spans="1:42" ht="30.75" thickBot="1">
      <c r="A17" s="285" t="s">
        <v>70</v>
      </c>
      <c r="B17" s="286" t="s">
        <v>111</v>
      </c>
      <c r="C17" s="287" t="s">
        <v>112</v>
      </c>
      <c r="D17" s="288" t="s">
        <v>113</v>
      </c>
      <c r="E17" s="287" t="s">
        <v>112</v>
      </c>
      <c r="F17" s="288" t="s">
        <v>113</v>
      </c>
      <c r="G17" s="287" t="s">
        <v>112</v>
      </c>
      <c r="H17" s="288" t="s">
        <v>113</v>
      </c>
      <c r="I17" s="287" t="s">
        <v>112</v>
      </c>
      <c r="J17" s="288" t="s">
        <v>113</v>
      </c>
      <c r="K17" s="287" t="s">
        <v>112</v>
      </c>
      <c r="L17" s="288" t="s">
        <v>113</v>
      </c>
      <c r="M17" s="287" t="s">
        <v>112</v>
      </c>
      <c r="N17" s="289" t="s">
        <v>113</v>
      </c>
      <c r="O17" s="287" t="s">
        <v>112</v>
      </c>
      <c r="P17" s="289" t="s">
        <v>113</v>
      </c>
      <c r="Q17" s="287" t="s">
        <v>112</v>
      </c>
      <c r="R17" s="289" t="s">
        <v>113</v>
      </c>
      <c r="S17" s="287" t="s">
        <v>112</v>
      </c>
      <c r="T17" s="289" t="s">
        <v>113</v>
      </c>
      <c r="U17" s="20"/>
      <c r="AJ17" s="108">
        <v>16</v>
      </c>
      <c r="AK17" s="174">
        <v>45065</v>
      </c>
      <c r="AL17" s="108" t="s">
        <v>207</v>
      </c>
      <c r="AM17" s="108" t="s">
        <v>125</v>
      </c>
      <c r="AN17" s="108" t="s">
        <v>51</v>
      </c>
      <c r="AO17" s="108" t="s">
        <v>189</v>
      </c>
      <c r="AP17" s="108"/>
    </row>
    <row r="18" spans="1:42" ht="15.75" thickBot="1">
      <c r="A18" s="290" t="s">
        <v>114</v>
      </c>
      <c r="B18" s="291">
        <v>4</v>
      </c>
      <c r="C18" s="292">
        <v>69</v>
      </c>
      <c r="D18" s="291" t="s">
        <v>946</v>
      </c>
      <c r="E18" s="292">
        <v>29</v>
      </c>
      <c r="F18" s="291" t="s">
        <v>947</v>
      </c>
      <c r="G18" s="292">
        <v>10</v>
      </c>
      <c r="H18" s="291" t="s">
        <v>745</v>
      </c>
      <c r="I18" s="292">
        <v>86</v>
      </c>
      <c r="J18" s="291" t="s">
        <v>948</v>
      </c>
      <c r="K18" s="292">
        <v>0</v>
      </c>
      <c r="L18" s="291" t="s">
        <v>740</v>
      </c>
      <c r="M18" s="292">
        <v>96</v>
      </c>
      <c r="N18" s="291" t="s">
        <v>833</v>
      </c>
      <c r="O18" s="292">
        <v>68</v>
      </c>
      <c r="P18" s="291" t="s">
        <v>834</v>
      </c>
      <c r="Q18" s="292">
        <v>99</v>
      </c>
      <c r="R18" s="291" t="s">
        <v>831</v>
      </c>
      <c r="S18" s="292">
        <v>103</v>
      </c>
      <c r="T18" s="291" t="s">
        <v>949</v>
      </c>
      <c r="U18" s="20"/>
      <c r="AJ18" s="108">
        <v>17</v>
      </c>
      <c r="AK18" s="174">
        <v>45079</v>
      </c>
      <c r="AL18" s="108" t="s">
        <v>208</v>
      </c>
      <c r="AM18" s="108" t="s">
        <v>125</v>
      </c>
      <c r="AN18" s="108" t="s">
        <v>51</v>
      </c>
      <c r="AO18" s="108" t="s">
        <v>189</v>
      </c>
      <c r="AP18" s="108"/>
    </row>
    <row r="19" spans="1:42" ht="15.75" thickBot="1">
      <c r="A19" s="293" t="s">
        <v>115</v>
      </c>
      <c r="B19" s="294">
        <v>3</v>
      </c>
      <c r="C19" s="295">
        <v>257</v>
      </c>
      <c r="D19" s="296" t="s">
        <v>950</v>
      </c>
      <c r="E19" s="295">
        <v>10</v>
      </c>
      <c r="F19" s="296" t="s">
        <v>746</v>
      </c>
      <c r="G19" s="295">
        <v>168</v>
      </c>
      <c r="H19" s="296" t="s">
        <v>951</v>
      </c>
      <c r="I19" s="295">
        <v>538</v>
      </c>
      <c r="J19" s="296" t="s">
        <v>952</v>
      </c>
      <c r="K19" s="295">
        <v>0</v>
      </c>
      <c r="L19" s="296" t="s">
        <v>740</v>
      </c>
      <c r="M19" s="295">
        <v>485</v>
      </c>
      <c r="N19" s="296" t="s">
        <v>953</v>
      </c>
      <c r="O19" s="295">
        <v>522</v>
      </c>
      <c r="P19" s="296" t="s">
        <v>954</v>
      </c>
      <c r="Q19" s="295">
        <v>512</v>
      </c>
      <c r="R19" s="296" t="s">
        <v>955</v>
      </c>
      <c r="S19" s="295">
        <v>525</v>
      </c>
      <c r="T19" s="296" t="s">
        <v>956</v>
      </c>
      <c r="U19" s="20"/>
      <c r="AJ19" s="108">
        <v>18</v>
      </c>
      <c r="AK19" s="174">
        <v>45083</v>
      </c>
      <c r="AL19" s="108" t="s">
        <v>209</v>
      </c>
      <c r="AM19" s="108" t="s">
        <v>91</v>
      </c>
      <c r="AN19" s="108" t="s">
        <v>109</v>
      </c>
      <c r="AO19" s="108" t="s">
        <v>189</v>
      </c>
      <c r="AP19" s="108"/>
    </row>
    <row r="20" spans="1:42" ht="15.75" thickBot="1">
      <c r="A20" s="297" t="s">
        <v>340</v>
      </c>
      <c r="B20" s="298">
        <v>3.5</v>
      </c>
      <c r="C20" s="299">
        <v>10</v>
      </c>
      <c r="D20" s="298" t="s">
        <v>739</v>
      </c>
      <c r="E20" s="299">
        <v>474</v>
      </c>
      <c r="F20" s="298" t="s">
        <v>957</v>
      </c>
      <c r="G20" s="299">
        <v>473</v>
      </c>
      <c r="H20" s="298" t="s">
        <v>958</v>
      </c>
      <c r="I20" s="299">
        <v>26</v>
      </c>
      <c r="J20" s="298" t="s">
        <v>845</v>
      </c>
      <c r="K20" s="299">
        <v>0</v>
      </c>
      <c r="L20" s="298" t="s">
        <v>740</v>
      </c>
      <c r="M20" s="299">
        <v>71</v>
      </c>
      <c r="N20" s="298" t="s">
        <v>959</v>
      </c>
      <c r="O20" s="299">
        <v>53</v>
      </c>
      <c r="P20" s="298" t="s">
        <v>960</v>
      </c>
      <c r="Q20" s="299">
        <v>16</v>
      </c>
      <c r="R20" s="298" t="s">
        <v>961</v>
      </c>
      <c r="S20" s="299">
        <v>22</v>
      </c>
      <c r="T20" s="298" t="s">
        <v>836</v>
      </c>
      <c r="U20" s="20"/>
      <c r="AJ20" s="108">
        <v>19</v>
      </c>
      <c r="AK20" s="174">
        <v>45082</v>
      </c>
      <c r="AL20" s="108" t="s">
        <v>210</v>
      </c>
      <c r="AM20" s="176" t="s">
        <v>96</v>
      </c>
      <c r="AN20" s="108" t="s">
        <v>50</v>
      </c>
      <c r="AO20" s="108" t="s">
        <v>192</v>
      </c>
      <c r="AP20" s="108"/>
    </row>
    <row r="21" spans="1:42" ht="15.75" thickBot="1">
      <c r="A21" s="297" t="s">
        <v>126</v>
      </c>
      <c r="B21" s="298">
        <v>1</v>
      </c>
      <c r="C21" s="252">
        <v>0</v>
      </c>
      <c r="D21" s="252" t="s">
        <v>962</v>
      </c>
      <c r="E21" s="252">
        <v>0</v>
      </c>
      <c r="F21" s="252" t="s">
        <v>840</v>
      </c>
      <c r="G21" s="252">
        <v>0</v>
      </c>
      <c r="H21" s="252" t="s">
        <v>840</v>
      </c>
      <c r="I21" s="252">
        <v>0</v>
      </c>
      <c r="J21" s="252" t="s">
        <v>747</v>
      </c>
      <c r="K21" s="252">
        <v>0</v>
      </c>
      <c r="L21" s="252" t="s">
        <v>740</v>
      </c>
      <c r="M21" s="252">
        <v>0</v>
      </c>
      <c r="N21" s="252" t="s">
        <v>747</v>
      </c>
      <c r="O21" s="252">
        <v>0</v>
      </c>
      <c r="P21" s="252" t="s">
        <v>962</v>
      </c>
      <c r="Q21" s="252">
        <v>0</v>
      </c>
      <c r="R21" s="252" t="s">
        <v>962</v>
      </c>
      <c r="S21" s="252">
        <v>0</v>
      </c>
      <c r="T21" s="252" t="s">
        <v>747</v>
      </c>
      <c r="U21" s="20"/>
      <c r="AJ21" s="108">
        <v>20</v>
      </c>
      <c r="AK21" s="174">
        <v>45082</v>
      </c>
      <c r="AL21" s="108" t="s">
        <v>211</v>
      </c>
      <c r="AM21" s="176" t="s">
        <v>96</v>
      </c>
      <c r="AN21" s="108" t="s">
        <v>50</v>
      </c>
      <c r="AO21" s="108" t="s">
        <v>192</v>
      </c>
      <c r="AP21" s="108"/>
    </row>
    <row r="22" spans="1:42" ht="15.75" thickBot="1">
      <c r="A22" s="293" t="s">
        <v>90</v>
      </c>
      <c r="B22" s="294">
        <v>1</v>
      </c>
      <c r="C22" s="253">
        <v>0</v>
      </c>
      <c r="D22" s="249" t="s">
        <v>740</v>
      </c>
      <c r="E22" s="253">
        <v>0</v>
      </c>
      <c r="F22" s="249" t="s">
        <v>740</v>
      </c>
      <c r="G22" s="253">
        <v>0</v>
      </c>
      <c r="H22" s="253" t="s">
        <v>740</v>
      </c>
      <c r="I22" s="253">
        <v>0</v>
      </c>
      <c r="J22" s="253" t="s">
        <v>740</v>
      </c>
      <c r="K22" s="253">
        <v>0</v>
      </c>
      <c r="L22" s="249" t="s">
        <v>740</v>
      </c>
      <c r="M22" s="253">
        <v>0</v>
      </c>
      <c r="N22" s="249" t="s">
        <v>740</v>
      </c>
      <c r="O22" s="253">
        <v>0</v>
      </c>
      <c r="P22" s="249" t="s">
        <v>740</v>
      </c>
      <c r="Q22" s="253">
        <v>0</v>
      </c>
      <c r="R22" s="249" t="s">
        <v>740</v>
      </c>
      <c r="S22" s="253">
        <v>0</v>
      </c>
      <c r="T22" s="249" t="s">
        <v>740</v>
      </c>
      <c r="U22" s="20"/>
      <c r="AJ22" s="108">
        <v>21</v>
      </c>
      <c r="AK22" s="174">
        <v>45083</v>
      </c>
      <c r="AL22" s="108" t="s">
        <v>212</v>
      </c>
      <c r="AM22" s="176" t="s">
        <v>95</v>
      </c>
      <c r="AN22" s="108" t="s">
        <v>50</v>
      </c>
      <c r="AO22" s="108" t="s">
        <v>192</v>
      </c>
      <c r="AP22" s="108"/>
    </row>
    <row r="23" spans="1:42" ht="15.75" thickBot="1">
      <c r="A23" s="297" t="s">
        <v>116</v>
      </c>
      <c r="B23" s="298">
        <v>1</v>
      </c>
      <c r="C23" s="252">
        <v>0</v>
      </c>
      <c r="D23" s="252" t="s">
        <v>846</v>
      </c>
      <c r="E23" s="252">
        <v>0</v>
      </c>
      <c r="F23" s="252" t="s">
        <v>847</v>
      </c>
      <c r="G23" s="252">
        <v>0</v>
      </c>
      <c r="H23" s="252" t="s">
        <v>853</v>
      </c>
      <c r="I23" s="252">
        <v>0</v>
      </c>
      <c r="J23" s="252" t="s">
        <v>963</v>
      </c>
      <c r="K23" s="252">
        <v>0</v>
      </c>
      <c r="L23" s="252" t="s">
        <v>740</v>
      </c>
      <c r="M23" s="252">
        <v>0</v>
      </c>
      <c r="N23" s="252" t="s">
        <v>964</v>
      </c>
      <c r="O23" s="252">
        <v>0</v>
      </c>
      <c r="P23" s="252" t="s">
        <v>965</v>
      </c>
      <c r="Q23" s="252">
        <v>0</v>
      </c>
      <c r="R23" s="252" t="s">
        <v>741</v>
      </c>
      <c r="S23" s="252">
        <v>0</v>
      </c>
      <c r="T23" s="252" t="s">
        <v>965</v>
      </c>
      <c r="U23" s="20"/>
      <c r="AJ23" s="108">
        <v>22</v>
      </c>
      <c r="AK23" s="174">
        <v>45089</v>
      </c>
      <c r="AL23" s="108" t="s">
        <v>213</v>
      </c>
      <c r="AM23" s="176" t="s">
        <v>96</v>
      </c>
      <c r="AN23" s="108" t="s">
        <v>50</v>
      </c>
      <c r="AO23" s="108" t="s">
        <v>192</v>
      </c>
      <c r="AP23" s="108"/>
    </row>
    <row r="24" spans="1:42" ht="15.75" thickBot="1">
      <c r="A24" s="301" t="s">
        <v>117</v>
      </c>
      <c r="B24" s="296">
        <v>1</v>
      </c>
      <c r="C24" s="250">
        <v>0</v>
      </c>
      <c r="D24" s="251" t="s">
        <v>740</v>
      </c>
      <c r="E24" s="250">
        <v>0</v>
      </c>
      <c r="F24" s="251" t="s">
        <v>740</v>
      </c>
      <c r="G24" s="250">
        <v>0</v>
      </c>
      <c r="H24" s="251" t="s">
        <v>843</v>
      </c>
      <c r="I24" s="250">
        <v>0</v>
      </c>
      <c r="J24" s="251" t="s">
        <v>843</v>
      </c>
      <c r="K24" s="250">
        <v>0</v>
      </c>
      <c r="L24" s="251" t="s">
        <v>740</v>
      </c>
      <c r="M24" s="250">
        <v>0</v>
      </c>
      <c r="N24" s="251" t="s">
        <v>848</v>
      </c>
      <c r="O24" s="250">
        <v>0</v>
      </c>
      <c r="P24" s="251" t="s">
        <v>841</v>
      </c>
      <c r="Q24" s="250">
        <v>0</v>
      </c>
      <c r="R24" s="251" t="s">
        <v>966</v>
      </c>
      <c r="S24" s="250">
        <v>0</v>
      </c>
      <c r="T24" s="251" t="s">
        <v>843</v>
      </c>
      <c r="U24" s="20"/>
      <c r="AJ24" s="108">
        <v>23</v>
      </c>
      <c r="AK24" s="174">
        <v>45097</v>
      </c>
      <c r="AL24" s="108" t="s">
        <v>214</v>
      </c>
      <c r="AM24" s="176" t="s">
        <v>94</v>
      </c>
      <c r="AN24" s="108" t="s">
        <v>109</v>
      </c>
      <c r="AO24" s="108" t="s">
        <v>192</v>
      </c>
      <c r="AP24" s="108"/>
    </row>
    <row r="25" spans="1:42" ht="15.75" thickBot="1">
      <c r="A25" s="297" t="s">
        <v>118</v>
      </c>
      <c r="B25" s="298">
        <v>1</v>
      </c>
      <c r="C25" s="252">
        <v>0</v>
      </c>
      <c r="D25" s="252" t="s">
        <v>967</v>
      </c>
      <c r="E25" s="252">
        <v>0</v>
      </c>
      <c r="F25" s="252" t="s">
        <v>968</v>
      </c>
      <c r="G25" s="252">
        <v>0</v>
      </c>
      <c r="H25" s="252" t="s">
        <v>969</v>
      </c>
      <c r="I25" s="252">
        <v>0</v>
      </c>
      <c r="J25" s="252" t="s">
        <v>843</v>
      </c>
      <c r="K25" s="252">
        <v>0</v>
      </c>
      <c r="L25" s="252" t="s">
        <v>740</v>
      </c>
      <c r="M25" s="252">
        <v>0</v>
      </c>
      <c r="N25" s="252" t="s">
        <v>970</v>
      </c>
      <c r="O25" s="252">
        <v>0</v>
      </c>
      <c r="P25" s="252" t="s">
        <v>740</v>
      </c>
      <c r="Q25" s="252">
        <v>0</v>
      </c>
      <c r="R25" s="252" t="s">
        <v>740</v>
      </c>
      <c r="S25" s="252">
        <v>0</v>
      </c>
      <c r="T25" s="252" t="s">
        <v>740</v>
      </c>
      <c r="U25" s="20"/>
      <c r="AJ25" s="108">
        <v>24</v>
      </c>
      <c r="AK25" s="174">
        <v>45097</v>
      </c>
      <c r="AL25" s="108" t="s">
        <v>341</v>
      </c>
      <c r="AM25" s="176" t="s">
        <v>94</v>
      </c>
      <c r="AN25" s="108" t="s">
        <v>52</v>
      </c>
      <c r="AO25" s="108" t="s">
        <v>189</v>
      </c>
      <c r="AP25" s="108"/>
    </row>
    <row r="26" spans="1:42" ht="15.75" thickBot="1">
      <c r="A26" s="302" t="s">
        <v>1</v>
      </c>
      <c r="B26" s="303"/>
      <c r="C26" s="304">
        <v>336</v>
      </c>
      <c r="D26" s="305" t="s">
        <v>971</v>
      </c>
      <c r="E26" s="304">
        <v>513</v>
      </c>
      <c r="F26" s="305" t="s">
        <v>972</v>
      </c>
      <c r="G26" s="304">
        <v>651</v>
      </c>
      <c r="H26" s="305" t="s">
        <v>973</v>
      </c>
      <c r="I26" s="304">
        <v>650</v>
      </c>
      <c r="J26" s="305" t="s">
        <v>974</v>
      </c>
      <c r="K26" s="304">
        <v>0</v>
      </c>
      <c r="L26" s="305" t="s">
        <v>740</v>
      </c>
      <c r="M26" s="304">
        <v>652</v>
      </c>
      <c r="N26" s="305" t="s">
        <v>975</v>
      </c>
      <c r="O26" s="304">
        <v>643</v>
      </c>
      <c r="P26" s="305">
        <v>2276</v>
      </c>
      <c r="Q26" s="304">
        <v>627</v>
      </c>
      <c r="R26" s="305" t="s">
        <v>976</v>
      </c>
      <c r="S26" s="304">
        <v>650</v>
      </c>
      <c r="T26" s="305" t="s">
        <v>977</v>
      </c>
      <c r="U26" s="20"/>
      <c r="AJ26" s="108">
        <v>25</v>
      </c>
      <c r="AK26" s="174">
        <v>45098</v>
      </c>
      <c r="AL26" s="108" t="s">
        <v>342</v>
      </c>
      <c r="AM26" s="108" t="s">
        <v>94</v>
      </c>
      <c r="AN26" s="108" t="s">
        <v>343</v>
      </c>
      <c r="AO26" s="108" t="s">
        <v>189</v>
      </c>
      <c r="AP26" s="108"/>
    </row>
    <row r="27" spans="1:42" ht="15" customHeight="1">
      <c r="A27" s="427" t="s">
        <v>119</v>
      </c>
      <c r="B27" s="428"/>
      <c r="C27" s="417" t="s">
        <v>120</v>
      </c>
      <c r="D27" s="418"/>
      <c r="E27" s="417" t="s">
        <v>120</v>
      </c>
      <c r="F27" s="418"/>
      <c r="G27" s="417" t="s">
        <v>120</v>
      </c>
      <c r="H27" s="418"/>
      <c r="I27" s="417" t="s">
        <v>120</v>
      </c>
      <c r="J27" s="418"/>
      <c r="K27" s="417" t="s">
        <v>120</v>
      </c>
      <c r="L27" s="418"/>
      <c r="M27" s="417" t="s">
        <v>120</v>
      </c>
      <c r="N27" s="418"/>
      <c r="O27" s="417" t="s">
        <v>120</v>
      </c>
      <c r="P27" s="418"/>
      <c r="Q27" s="417" t="s">
        <v>120</v>
      </c>
      <c r="R27" s="418"/>
      <c r="S27" s="417" t="s">
        <v>120</v>
      </c>
      <c r="T27" s="418"/>
      <c r="U27" s="20"/>
      <c r="AJ27" s="108">
        <v>26</v>
      </c>
      <c r="AK27" s="174">
        <v>45098</v>
      </c>
      <c r="AL27" s="108" t="s">
        <v>344</v>
      </c>
      <c r="AM27" s="108" t="s">
        <v>91</v>
      </c>
      <c r="AN27" s="108" t="s">
        <v>52</v>
      </c>
      <c r="AO27" s="108" t="s">
        <v>189</v>
      </c>
      <c r="AP27" s="108"/>
    </row>
    <row r="28" spans="1:42">
      <c r="A28" s="429"/>
      <c r="B28" s="430"/>
      <c r="C28" s="419"/>
      <c r="D28" s="420"/>
      <c r="E28" s="419"/>
      <c r="F28" s="420"/>
      <c r="G28" s="419"/>
      <c r="H28" s="420"/>
      <c r="I28" s="419"/>
      <c r="J28" s="420"/>
      <c r="K28" s="419"/>
      <c r="L28" s="420"/>
      <c r="M28" s="419"/>
      <c r="N28" s="420"/>
      <c r="O28" s="419"/>
      <c r="P28" s="420"/>
      <c r="Q28" s="419"/>
      <c r="R28" s="420"/>
      <c r="S28" s="419"/>
      <c r="T28" s="420"/>
      <c r="U28" s="20"/>
      <c r="AJ28" s="108">
        <v>27</v>
      </c>
      <c r="AK28" s="174">
        <v>45099</v>
      </c>
      <c r="AL28" s="108" t="s">
        <v>345</v>
      </c>
      <c r="AM28" s="108" t="s">
        <v>94</v>
      </c>
      <c r="AN28" s="108" t="s">
        <v>109</v>
      </c>
      <c r="AO28" s="108" t="s">
        <v>189</v>
      </c>
      <c r="AP28" s="108"/>
    </row>
    <row r="29" spans="1:42" ht="15.75" thickBot="1">
      <c r="A29" s="421">
        <v>1.0257000000000001</v>
      </c>
      <c r="B29" s="422"/>
      <c r="C29" s="421">
        <v>1.042</v>
      </c>
      <c r="D29" s="422"/>
      <c r="E29" s="421">
        <v>1.0797000000000001</v>
      </c>
      <c r="F29" s="422"/>
      <c r="G29" s="421">
        <v>1.0422</v>
      </c>
      <c r="H29" s="422"/>
      <c r="I29" s="421">
        <v>1.0018</v>
      </c>
      <c r="J29" s="423"/>
      <c r="K29" s="424" t="e">
        <v>#DIV/0!</v>
      </c>
      <c r="L29" s="425"/>
      <c r="M29" s="426">
        <v>1.0270999999999999</v>
      </c>
      <c r="N29" s="422"/>
      <c r="O29" s="421">
        <v>1.0116000000000001</v>
      </c>
      <c r="P29" s="422"/>
      <c r="Q29" s="421">
        <v>1.0004</v>
      </c>
      <c r="R29" s="422"/>
      <c r="S29" s="421">
        <v>1.0006999999999999</v>
      </c>
      <c r="T29" s="423"/>
      <c r="U29" s="20"/>
      <c r="AJ29" s="108">
        <v>28</v>
      </c>
      <c r="AK29" s="174">
        <v>45099</v>
      </c>
      <c r="AL29" s="108" t="s">
        <v>346</v>
      </c>
      <c r="AM29" s="108" t="s">
        <v>204</v>
      </c>
      <c r="AN29" s="108" t="s">
        <v>109</v>
      </c>
      <c r="AO29" s="108" t="s">
        <v>189</v>
      </c>
      <c r="AP29" s="108"/>
    </row>
    <row r="30" spans="1:42" ht="15.75" thickBot="1">
      <c r="A30" s="306"/>
      <c r="B30" s="307"/>
      <c r="C30" s="307"/>
      <c r="D30" s="307"/>
      <c r="E30" s="307"/>
      <c r="F30" s="307"/>
      <c r="G30" s="307"/>
      <c r="H30" s="307"/>
      <c r="I30" s="307"/>
      <c r="J30" s="307"/>
      <c r="K30" s="307"/>
      <c r="L30" s="307"/>
      <c r="M30" s="307"/>
      <c r="N30" s="307"/>
      <c r="O30" s="307"/>
      <c r="P30" s="307"/>
      <c r="Q30" s="307"/>
      <c r="R30" s="307"/>
      <c r="S30" s="307"/>
      <c r="T30" s="307"/>
      <c r="U30" s="20"/>
      <c r="AJ30" s="108">
        <v>29</v>
      </c>
      <c r="AK30" s="174">
        <v>45099</v>
      </c>
      <c r="AL30" s="108" t="s">
        <v>347</v>
      </c>
      <c r="AM30" s="108" t="s">
        <v>94</v>
      </c>
      <c r="AN30" s="108" t="s">
        <v>54</v>
      </c>
      <c r="AO30" s="108" t="s">
        <v>192</v>
      </c>
      <c r="AP30" s="108"/>
    </row>
    <row r="31" spans="1:42" ht="15.75" thickBot="1">
      <c r="A31" s="308" t="s">
        <v>121</v>
      </c>
      <c r="B31" s="309"/>
      <c r="C31" s="309"/>
      <c r="D31" s="310">
        <v>2250</v>
      </c>
      <c r="E31" s="309"/>
      <c r="F31" s="310">
        <v>2250</v>
      </c>
      <c r="G31" s="309"/>
      <c r="H31" s="310">
        <v>2250</v>
      </c>
      <c r="I31" s="309"/>
      <c r="J31" s="310">
        <v>2250</v>
      </c>
      <c r="K31" s="309"/>
      <c r="L31" s="310">
        <v>2250</v>
      </c>
      <c r="M31" s="309"/>
      <c r="N31" s="310">
        <v>2250</v>
      </c>
      <c r="O31" s="309"/>
      <c r="P31" s="310">
        <v>2250</v>
      </c>
      <c r="Q31" s="309"/>
      <c r="R31" s="310">
        <v>2250</v>
      </c>
      <c r="S31" s="309"/>
      <c r="T31" s="310">
        <v>2250</v>
      </c>
      <c r="U31" s="20"/>
      <c r="AJ31" s="108">
        <v>30</v>
      </c>
      <c r="AK31" s="174">
        <v>45099</v>
      </c>
      <c r="AL31" s="108" t="s">
        <v>348</v>
      </c>
      <c r="AM31" s="176" t="s">
        <v>204</v>
      </c>
      <c r="AN31" s="108" t="s">
        <v>54</v>
      </c>
      <c r="AO31" s="108" t="s">
        <v>189</v>
      </c>
      <c r="AP31" s="108"/>
    </row>
    <row r="32" spans="1:42" ht="15.75" thickBot="1">
      <c r="A32" s="311" t="s">
        <v>122</v>
      </c>
      <c r="B32" s="312"/>
      <c r="C32" s="312"/>
      <c r="D32" s="313"/>
      <c r="E32" s="312"/>
      <c r="F32" s="313">
        <v>0</v>
      </c>
      <c r="G32" s="312"/>
      <c r="H32" s="313">
        <v>0</v>
      </c>
      <c r="I32" s="312"/>
      <c r="J32" s="313">
        <v>0</v>
      </c>
      <c r="K32" s="312"/>
      <c r="L32" s="313">
        <v>0</v>
      </c>
      <c r="M32" s="312"/>
      <c r="N32" s="313">
        <v>0</v>
      </c>
      <c r="O32" s="312"/>
      <c r="P32" s="313">
        <v>0</v>
      </c>
      <c r="Q32" s="312"/>
      <c r="R32" s="313">
        <v>0</v>
      </c>
      <c r="S32" s="312"/>
      <c r="T32" s="313">
        <v>0</v>
      </c>
      <c r="U32" s="20"/>
      <c r="AJ32" s="108">
        <v>31</v>
      </c>
      <c r="AK32" s="174">
        <v>45099</v>
      </c>
      <c r="AL32" s="108" t="s">
        <v>349</v>
      </c>
      <c r="AM32" s="176" t="s">
        <v>94</v>
      </c>
      <c r="AN32" s="108" t="s">
        <v>50</v>
      </c>
      <c r="AO32" s="108" t="s">
        <v>189</v>
      </c>
      <c r="AP32" s="108"/>
    </row>
    <row r="33" spans="1:42" ht="15.75" thickBot="1">
      <c r="A33" s="311" t="s">
        <v>123</v>
      </c>
      <c r="B33" s="312"/>
      <c r="C33" s="312"/>
      <c r="D33" s="314">
        <v>0</v>
      </c>
      <c r="E33" s="312"/>
      <c r="F33" s="315">
        <v>450</v>
      </c>
      <c r="G33" s="312"/>
      <c r="H33" s="315">
        <v>0</v>
      </c>
      <c r="I33" s="312"/>
      <c r="J33" s="315">
        <v>0</v>
      </c>
      <c r="K33" s="312"/>
      <c r="L33" s="316">
        <v>2250</v>
      </c>
      <c r="M33" s="312"/>
      <c r="N33" s="315">
        <v>0</v>
      </c>
      <c r="O33" s="312"/>
      <c r="P33" s="315">
        <v>0</v>
      </c>
      <c r="Q33" s="312"/>
      <c r="R33" s="315">
        <v>0</v>
      </c>
      <c r="S33" s="312"/>
      <c r="T33" s="315">
        <v>0</v>
      </c>
      <c r="U33" s="20"/>
      <c r="AJ33" s="108">
        <v>32</v>
      </c>
      <c r="AK33" s="174">
        <v>45099</v>
      </c>
      <c r="AL33" s="108" t="s">
        <v>350</v>
      </c>
      <c r="AM33" s="176" t="s">
        <v>94</v>
      </c>
      <c r="AN33" s="108" t="s">
        <v>50</v>
      </c>
      <c r="AO33" s="108" t="s">
        <v>189</v>
      </c>
      <c r="AP33" s="108"/>
    </row>
    <row r="34" spans="1:42" ht="15.75" thickBot="1">
      <c r="A34" s="308" t="s">
        <v>124</v>
      </c>
      <c r="B34" s="309"/>
      <c r="C34" s="309"/>
      <c r="D34" s="317">
        <v>2250</v>
      </c>
      <c r="E34" s="309"/>
      <c r="F34" s="317">
        <v>1800</v>
      </c>
      <c r="G34" s="309"/>
      <c r="H34" s="317">
        <v>2250</v>
      </c>
      <c r="I34" s="309"/>
      <c r="J34" s="317">
        <v>2250</v>
      </c>
      <c r="K34" s="309"/>
      <c r="L34" s="299">
        <v>0</v>
      </c>
      <c r="M34" s="309"/>
      <c r="N34" s="317">
        <v>2250</v>
      </c>
      <c r="O34" s="309"/>
      <c r="P34" s="317">
        <v>2250</v>
      </c>
      <c r="Q34" s="309"/>
      <c r="R34" s="317">
        <v>2250</v>
      </c>
      <c r="S34" s="309"/>
      <c r="T34" s="317">
        <v>2250</v>
      </c>
      <c r="U34" s="20"/>
      <c r="AJ34" s="108">
        <v>33</v>
      </c>
      <c r="AK34" s="174">
        <v>45100</v>
      </c>
      <c r="AL34" s="108" t="s">
        <v>351</v>
      </c>
      <c r="AM34" s="176" t="s">
        <v>94</v>
      </c>
      <c r="AN34" s="108" t="s">
        <v>50</v>
      </c>
      <c r="AO34" s="108" t="s">
        <v>192</v>
      </c>
      <c r="AP34" s="108"/>
    </row>
    <row r="35" spans="1:42" ht="15.75" thickBot="1">
      <c r="AJ35" s="108">
        <v>34</v>
      </c>
      <c r="AK35" s="174">
        <v>45103</v>
      </c>
      <c r="AL35" s="108" t="s">
        <v>352</v>
      </c>
      <c r="AM35" s="176" t="s">
        <v>204</v>
      </c>
      <c r="AN35" s="108" t="s">
        <v>50</v>
      </c>
      <c r="AO35" s="108" t="s">
        <v>189</v>
      </c>
      <c r="AP35" s="108"/>
    </row>
    <row r="36" spans="1:42" ht="24" thickBot="1">
      <c r="A36" s="283">
        <v>45453</v>
      </c>
      <c r="B36" s="284"/>
      <c r="C36" s="413" t="s">
        <v>102</v>
      </c>
      <c r="D36" s="414"/>
      <c r="E36" s="413" t="s">
        <v>107</v>
      </c>
      <c r="F36" s="414"/>
      <c r="G36" s="413" t="s">
        <v>108</v>
      </c>
      <c r="H36" s="414"/>
      <c r="I36" s="413" t="s">
        <v>109</v>
      </c>
      <c r="J36" s="414"/>
      <c r="K36" s="413" t="s">
        <v>110</v>
      </c>
      <c r="L36" s="414"/>
      <c r="M36" s="413" t="s">
        <v>181</v>
      </c>
      <c r="N36" s="415"/>
      <c r="O36" s="416" t="s">
        <v>644</v>
      </c>
      <c r="P36" s="415"/>
      <c r="Q36" s="416" t="s">
        <v>603</v>
      </c>
      <c r="R36" s="415"/>
      <c r="S36" s="416" t="s">
        <v>663</v>
      </c>
      <c r="T36" s="415"/>
      <c r="U36" s="20"/>
      <c r="AJ36" s="108">
        <v>35</v>
      </c>
      <c r="AK36" s="174">
        <v>45107</v>
      </c>
      <c r="AL36" s="108" t="s">
        <v>353</v>
      </c>
      <c r="AM36" s="176" t="s">
        <v>91</v>
      </c>
      <c r="AN36" s="108" t="s">
        <v>51</v>
      </c>
      <c r="AO36" s="108" t="s">
        <v>189</v>
      </c>
      <c r="AP36" s="108"/>
    </row>
    <row r="37" spans="1:42" ht="30.75" thickBot="1">
      <c r="A37" s="285" t="s">
        <v>70</v>
      </c>
      <c r="B37" s="286" t="s">
        <v>111</v>
      </c>
      <c r="C37" s="287" t="s">
        <v>112</v>
      </c>
      <c r="D37" s="288" t="s">
        <v>113</v>
      </c>
      <c r="E37" s="287" t="s">
        <v>112</v>
      </c>
      <c r="F37" s="288" t="s">
        <v>113</v>
      </c>
      <c r="G37" s="287" t="s">
        <v>112</v>
      </c>
      <c r="H37" s="288" t="s">
        <v>113</v>
      </c>
      <c r="I37" s="287" t="s">
        <v>112</v>
      </c>
      <c r="J37" s="288" t="s">
        <v>113</v>
      </c>
      <c r="K37" s="287" t="s">
        <v>112</v>
      </c>
      <c r="L37" s="288" t="s">
        <v>113</v>
      </c>
      <c r="M37" s="287" t="s">
        <v>112</v>
      </c>
      <c r="N37" s="289" t="s">
        <v>113</v>
      </c>
      <c r="O37" s="287" t="s">
        <v>112</v>
      </c>
      <c r="P37" s="289" t="s">
        <v>113</v>
      </c>
      <c r="Q37" s="287" t="s">
        <v>112</v>
      </c>
      <c r="R37" s="289" t="s">
        <v>113</v>
      </c>
      <c r="S37" s="287" t="s">
        <v>112</v>
      </c>
      <c r="T37" s="289" t="s">
        <v>113</v>
      </c>
      <c r="U37" s="20"/>
      <c r="AJ37" s="108">
        <v>36</v>
      </c>
      <c r="AK37" s="174">
        <v>45114</v>
      </c>
      <c r="AL37" s="108" t="s">
        <v>354</v>
      </c>
      <c r="AM37" s="176" t="s">
        <v>92</v>
      </c>
      <c r="AN37" s="108" t="s">
        <v>53</v>
      </c>
      <c r="AO37" s="108" t="s">
        <v>189</v>
      </c>
      <c r="AP37" s="108"/>
    </row>
    <row r="38" spans="1:42" ht="15.75" thickBot="1">
      <c r="A38" s="290" t="s">
        <v>114</v>
      </c>
      <c r="B38" s="291">
        <v>4</v>
      </c>
      <c r="C38" s="292">
        <v>214</v>
      </c>
      <c r="D38" s="291" t="s">
        <v>978</v>
      </c>
      <c r="E38" s="292">
        <v>131</v>
      </c>
      <c r="F38" s="291" t="s">
        <v>979</v>
      </c>
      <c r="G38" s="292">
        <v>35</v>
      </c>
      <c r="H38" s="291" t="s">
        <v>980</v>
      </c>
      <c r="I38" s="292">
        <v>100</v>
      </c>
      <c r="J38" s="291" t="s">
        <v>981</v>
      </c>
      <c r="K38" s="292">
        <v>0</v>
      </c>
      <c r="L38" s="291" t="s">
        <v>740</v>
      </c>
      <c r="M38" s="292">
        <v>77</v>
      </c>
      <c r="N38" s="291" t="s">
        <v>982</v>
      </c>
      <c r="O38" s="292">
        <v>66</v>
      </c>
      <c r="P38" s="291" t="s">
        <v>983</v>
      </c>
      <c r="Q38" s="292">
        <v>27</v>
      </c>
      <c r="R38" s="291" t="s">
        <v>849</v>
      </c>
      <c r="S38" s="292">
        <v>106</v>
      </c>
      <c r="T38" s="291" t="s">
        <v>984</v>
      </c>
      <c r="U38" s="20"/>
      <c r="AJ38" s="108">
        <v>37</v>
      </c>
      <c r="AK38" s="174">
        <v>45121</v>
      </c>
      <c r="AL38" s="108" t="s">
        <v>355</v>
      </c>
      <c r="AM38" s="176" t="s">
        <v>92</v>
      </c>
      <c r="AN38" s="108" t="s">
        <v>181</v>
      </c>
      <c r="AO38" s="108" t="s">
        <v>189</v>
      </c>
      <c r="AP38" s="108"/>
    </row>
    <row r="39" spans="1:42" ht="15.75" thickBot="1">
      <c r="A39" s="293" t="s">
        <v>115</v>
      </c>
      <c r="B39" s="294">
        <v>3</v>
      </c>
      <c r="C39" s="295">
        <v>87</v>
      </c>
      <c r="D39" s="296" t="s">
        <v>985</v>
      </c>
      <c r="E39" s="295">
        <v>567</v>
      </c>
      <c r="F39" s="296" t="s">
        <v>986</v>
      </c>
      <c r="G39" s="295">
        <v>483</v>
      </c>
      <c r="H39" s="296" t="s">
        <v>987</v>
      </c>
      <c r="I39" s="295">
        <v>530</v>
      </c>
      <c r="J39" s="296" t="s">
        <v>988</v>
      </c>
      <c r="K39" s="295">
        <v>0</v>
      </c>
      <c r="L39" s="296" t="s">
        <v>740</v>
      </c>
      <c r="M39" s="295">
        <v>526</v>
      </c>
      <c r="N39" s="296" t="s">
        <v>989</v>
      </c>
      <c r="O39" s="295">
        <v>528</v>
      </c>
      <c r="P39" s="296" t="s">
        <v>850</v>
      </c>
      <c r="Q39" s="295">
        <v>64</v>
      </c>
      <c r="R39" s="296" t="s">
        <v>990</v>
      </c>
      <c r="S39" s="295">
        <v>358</v>
      </c>
      <c r="T39" s="296" t="s">
        <v>991</v>
      </c>
      <c r="U39" s="20"/>
      <c r="AJ39" s="108">
        <v>38</v>
      </c>
      <c r="AK39" s="174">
        <v>45121</v>
      </c>
      <c r="AL39" s="108" t="s">
        <v>356</v>
      </c>
      <c r="AM39" s="176" t="s">
        <v>92</v>
      </c>
      <c r="AN39" s="108" t="s">
        <v>107</v>
      </c>
      <c r="AO39" s="108" t="s">
        <v>189</v>
      </c>
      <c r="AP39" s="108"/>
    </row>
    <row r="40" spans="1:42" ht="15.75" thickBot="1">
      <c r="A40" s="297" t="s">
        <v>340</v>
      </c>
      <c r="B40" s="298">
        <v>3.5</v>
      </c>
      <c r="C40" s="299">
        <v>3</v>
      </c>
      <c r="D40" s="298" t="s">
        <v>992</v>
      </c>
      <c r="E40" s="299">
        <v>10</v>
      </c>
      <c r="F40" s="298" t="s">
        <v>739</v>
      </c>
      <c r="G40" s="299">
        <v>113</v>
      </c>
      <c r="H40" s="298" t="s">
        <v>993</v>
      </c>
      <c r="I40" s="299">
        <v>20</v>
      </c>
      <c r="J40" s="298" t="s">
        <v>743</v>
      </c>
      <c r="K40" s="299">
        <v>0</v>
      </c>
      <c r="L40" s="298" t="s">
        <v>740</v>
      </c>
      <c r="M40" s="299">
        <v>51</v>
      </c>
      <c r="N40" s="298" t="s">
        <v>994</v>
      </c>
      <c r="O40" s="299">
        <v>39</v>
      </c>
      <c r="P40" s="298" t="s">
        <v>995</v>
      </c>
      <c r="Q40" s="299">
        <v>532</v>
      </c>
      <c r="R40" s="298" t="s">
        <v>996</v>
      </c>
      <c r="S40" s="299">
        <v>48</v>
      </c>
      <c r="T40" s="298" t="s">
        <v>997</v>
      </c>
      <c r="U40" s="20"/>
      <c r="AJ40" s="108">
        <v>39</v>
      </c>
      <c r="AK40" s="174">
        <v>45121</v>
      </c>
      <c r="AL40" s="108" t="s">
        <v>357</v>
      </c>
      <c r="AM40" s="176" t="s">
        <v>92</v>
      </c>
      <c r="AN40" s="108" t="s">
        <v>108</v>
      </c>
      <c r="AO40" s="108" t="s">
        <v>189</v>
      </c>
      <c r="AP40" s="108"/>
    </row>
    <row r="41" spans="1:42" ht="15.75" thickBot="1">
      <c r="A41" s="297" t="s">
        <v>126</v>
      </c>
      <c r="B41" s="298">
        <v>1</v>
      </c>
      <c r="C41" s="299">
        <v>0</v>
      </c>
      <c r="D41" s="299" t="s">
        <v>998</v>
      </c>
      <c r="E41" s="299">
        <v>0</v>
      </c>
      <c r="F41" s="299" t="s">
        <v>999</v>
      </c>
      <c r="G41" s="299">
        <v>0</v>
      </c>
      <c r="H41" s="299" t="s">
        <v>999</v>
      </c>
      <c r="I41" s="299">
        <v>0</v>
      </c>
      <c r="J41" s="299" t="s">
        <v>747</v>
      </c>
      <c r="K41" s="299">
        <v>0</v>
      </c>
      <c r="L41" s="299" t="s">
        <v>740</v>
      </c>
      <c r="M41" s="299">
        <v>0</v>
      </c>
      <c r="N41" s="299" t="s">
        <v>999</v>
      </c>
      <c r="O41" s="299">
        <v>0</v>
      </c>
      <c r="P41" s="299" t="s">
        <v>1000</v>
      </c>
      <c r="Q41" s="299">
        <v>0</v>
      </c>
      <c r="R41" s="299" t="s">
        <v>1001</v>
      </c>
      <c r="S41" s="299">
        <v>0</v>
      </c>
      <c r="T41" s="299" t="s">
        <v>838</v>
      </c>
      <c r="U41" s="20"/>
      <c r="AJ41" s="108">
        <v>40</v>
      </c>
      <c r="AK41" s="177">
        <v>45138</v>
      </c>
      <c r="AL41" s="178" t="s">
        <v>358</v>
      </c>
      <c r="AM41" s="176" t="s">
        <v>92</v>
      </c>
      <c r="AN41" s="108" t="s">
        <v>181</v>
      </c>
      <c r="AO41" s="108" t="s">
        <v>189</v>
      </c>
      <c r="AP41" s="108"/>
    </row>
    <row r="42" spans="1:42" ht="15.75" thickBot="1">
      <c r="A42" s="293" t="s">
        <v>90</v>
      </c>
      <c r="B42" s="294">
        <v>1</v>
      </c>
      <c r="C42" s="300">
        <v>0</v>
      </c>
      <c r="D42" s="294" t="s">
        <v>839</v>
      </c>
      <c r="E42" s="300">
        <v>0</v>
      </c>
      <c r="F42" s="294" t="s">
        <v>1002</v>
      </c>
      <c r="G42" s="300">
        <v>0</v>
      </c>
      <c r="H42" s="300" t="s">
        <v>738</v>
      </c>
      <c r="I42" s="300">
        <v>0</v>
      </c>
      <c r="J42" s="300" t="s">
        <v>740</v>
      </c>
      <c r="K42" s="300">
        <v>0</v>
      </c>
      <c r="L42" s="294" t="s">
        <v>740</v>
      </c>
      <c r="M42" s="300">
        <v>0</v>
      </c>
      <c r="N42" s="294" t="s">
        <v>740</v>
      </c>
      <c r="O42" s="300">
        <v>0</v>
      </c>
      <c r="P42" s="294" t="s">
        <v>740</v>
      </c>
      <c r="Q42" s="300">
        <v>0</v>
      </c>
      <c r="R42" s="294" t="s">
        <v>1003</v>
      </c>
      <c r="S42" s="300">
        <v>0</v>
      </c>
      <c r="T42" s="294" t="s">
        <v>740</v>
      </c>
      <c r="U42" s="20"/>
      <c r="AJ42" s="108">
        <v>41</v>
      </c>
      <c r="AK42" s="177">
        <v>45142</v>
      </c>
      <c r="AL42" s="108" t="s">
        <v>215</v>
      </c>
      <c r="AM42" s="176" t="s">
        <v>92</v>
      </c>
      <c r="AN42" s="108" t="s">
        <v>181</v>
      </c>
      <c r="AO42" s="108" t="s">
        <v>189</v>
      </c>
      <c r="AP42" s="108"/>
    </row>
    <row r="43" spans="1:42" ht="15.75" thickBot="1">
      <c r="A43" s="297" t="s">
        <v>116</v>
      </c>
      <c r="B43" s="298">
        <v>1</v>
      </c>
      <c r="C43" s="299">
        <v>0</v>
      </c>
      <c r="D43" s="299" t="s">
        <v>839</v>
      </c>
      <c r="E43" s="299">
        <v>0</v>
      </c>
      <c r="F43" s="299" t="s">
        <v>965</v>
      </c>
      <c r="G43" s="299">
        <v>0</v>
      </c>
      <c r="H43" s="299" t="s">
        <v>742</v>
      </c>
      <c r="I43" s="299">
        <v>0</v>
      </c>
      <c r="J43" s="299" t="s">
        <v>742</v>
      </c>
      <c r="K43" s="299">
        <v>0</v>
      </c>
      <c r="L43" s="299" t="s">
        <v>740</v>
      </c>
      <c r="M43" s="299">
        <v>0</v>
      </c>
      <c r="N43" s="299" t="s">
        <v>838</v>
      </c>
      <c r="O43" s="299">
        <v>0</v>
      </c>
      <c r="P43" s="299" t="s">
        <v>851</v>
      </c>
      <c r="Q43" s="299">
        <v>0</v>
      </c>
      <c r="R43" s="299" t="s">
        <v>745</v>
      </c>
      <c r="S43" s="299">
        <v>0</v>
      </c>
      <c r="T43" s="299" t="s">
        <v>965</v>
      </c>
      <c r="U43" s="20"/>
      <c r="AJ43" s="108">
        <v>42</v>
      </c>
      <c r="AK43" s="177">
        <v>45142</v>
      </c>
      <c r="AL43" s="108" t="s">
        <v>216</v>
      </c>
      <c r="AM43" s="176" t="s">
        <v>92</v>
      </c>
      <c r="AN43" s="108" t="s">
        <v>181</v>
      </c>
      <c r="AO43" s="108" t="s">
        <v>189</v>
      </c>
      <c r="AP43" s="108"/>
    </row>
    <row r="44" spans="1:42" ht="15.75" thickBot="1">
      <c r="A44" s="301" t="s">
        <v>117</v>
      </c>
      <c r="B44" s="296">
        <v>1</v>
      </c>
      <c r="C44" s="295">
        <v>0</v>
      </c>
      <c r="D44" s="296" t="s">
        <v>740</v>
      </c>
      <c r="E44" s="295">
        <v>0</v>
      </c>
      <c r="F44" s="296" t="s">
        <v>848</v>
      </c>
      <c r="G44" s="295">
        <v>0</v>
      </c>
      <c r="H44" s="296" t="s">
        <v>746</v>
      </c>
      <c r="I44" s="295">
        <v>0</v>
      </c>
      <c r="J44" s="296" t="s">
        <v>739</v>
      </c>
      <c r="K44" s="295">
        <v>0</v>
      </c>
      <c r="L44" s="296" t="s">
        <v>740</v>
      </c>
      <c r="M44" s="295">
        <v>0</v>
      </c>
      <c r="N44" s="296" t="s">
        <v>740</v>
      </c>
      <c r="O44" s="295">
        <v>0</v>
      </c>
      <c r="P44" s="296" t="s">
        <v>746</v>
      </c>
      <c r="Q44" s="295">
        <v>0</v>
      </c>
      <c r="R44" s="296" t="s">
        <v>744</v>
      </c>
      <c r="S44" s="295">
        <v>0</v>
      </c>
      <c r="T44" s="296" t="s">
        <v>841</v>
      </c>
      <c r="U44" s="20"/>
      <c r="AJ44" s="108">
        <v>43</v>
      </c>
      <c r="AK44" s="177">
        <v>45142</v>
      </c>
      <c r="AL44" s="108" t="s">
        <v>217</v>
      </c>
      <c r="AM44" s="176" t="s">
        <v>92</v>
      </c>
      <c r="AN44" s="108" t="s">
        <v>181</v>
      </c>
      <c r="AO44" s="108" t="s">
        <v>189</v>
      </c>
      <c r="AP44" s="108"/>
    </row>
    <row r="45" spans="1:42" ht="15.75" thickBot="1">
      <c r="A45" s="297" t="s">
        <v>118</v>
      </c>
      <c r="B45" s="298">
        <v>1</v>
      </c>
      <c r="C45" s="299">
        <v>0</v>
      </c>
      <c r="D45" s="299" t="s">
        <v>1004</v>
      </c>
      <c r="E45" s="299">
        <v>0</v>
      </c>
      <c r="F45" s="299" t="s">
        <v>736</v>
      </c>
      <c r="G45" s="299">
        <v>0</v>
      </c>
      <c r="H45" s="299" t="s">
        <v>1005</v>
      </c>
      <c r="I45" s="299">
        <v>0</v>
      </c>
      <c r="J45" s="299" t="s">
        <v>740</v>
      </c>
      <c r="K45" s="299">
        <v>0</v>
      </c>
      <c r="L45" s="299" t="s">
        <v>740</v>
      </c>
      <c r="M45" s="299">
        <v>0</v>
      </c>
      <c r="N45" s="299" t="s">
        <v>854</v>
      </c>
      <c r="O45" s="299">
        <v>0</v>
      </c>
      <c r="P45" s="299" t="s">
        <v>740</v>
      </c>
      <c r="Q45" s="299">
        <v>0</v>
      </c>
      <c r="R45" s="299" t="s">
        <v>740</v>
      </c>
      <c r="S45" s="299">
        <v>0</v>
      </c>
      <c r="T45" s="299" t="s">
        <v>740</v>
      </c>
      <c r="U45" s="20"/>
      <c r="AJ45" s="108">
        <v>44</v>
      </c>
      <c r="AK45" s="177">
        <v>45140</v>
      </c>
      <c r="AL45" s="178" t="s">
        <v>218</v>
      </c>
      <c r="AM45" s="176" t="s">
        <v>93</v>
      </c>
      <c r="AN45" s="178" t="s">
        <v>107</v>
      </c>
      <c r="AO45" s="108" t="s">
        <v>189</v>
      </c>
      <c r="AP45" s="178" t="s">
        <v>553</v>
      </c>
    </row>
    <row r="46" spans="1:42" ht="30.75" thickBot="1">
      <c r="A46" s="302" t="s">
        <v>1</v>
      </c>
      <c r="B46" s="303"/>
      <c r="C46" s="304">
        <v>304</v>
      </c>
      <c r="D46" s="305" t="s">
        <v>1006</v>
      </c>
      <c r="E46" s="304">
        <v>708</v>
      </c>
      <c r="F46" s="305" t="s">
        <v>1007</v>
      </c>
      <c r="G46" s="304">
        <v>631</v>
      </c>
      <c r="H46" s="305" t="s">
        <v>1008</v>
      </c>
      <c r="I46" s="304">
        <v>650</v>
      </c>
      <c r="J46" s="305" t="s">
        <v>855</v>
      </c>
      <c r="K46" s="304">
        <v>0</v>
      </c>
      <c r="L46" s="305" t="s">
        <v>740</v>
      </c>
      <c r="M46" s="304">
        <v>654</v>
      </c>
      <c r="N46" s="305" t="s">
        <v>1009</v>
      </c>
      <c r="O46" s="304">
        <v>633</v>
      </c>
      <c r="P46" s="305">
        <v>2252</v>
      </c>
      <c r="Q46" s="304">
        <v>623</v>
      </c>
      <c r="R46" s="305" t="s">
        <v>1010</v>
      </c>
      <c r="S46" s="304">
        <v>512</v>
      </c>
      <c r="T46" s="305" t="s">
        <v>1011</v>
      </c>
      <c r="U46" s="20"/>
      <c r="AJ46" s="108">
        <v>45</v>
      </c>
      <c r="AK46" s="177">
        <v>45142</v>
      </c>
      <c r="AL46" s="178" t="s">
        <v>219</v>
      </c>
      <c r="AM46" s="176" t="s">
        <v>93</v>
      </c>
      <c r="AN46" s="178" t="s">
        <v>107</v>
      </c>
      <c r="AO46" s="108" t="s">
        <v>189</v>
      </c>
      <c r="AP46" s="178" t="s">
        <v>554</v>
      </c>
    </row>
    <row r="47" spans="1:42" ht="75">
      <c r="A47" s="427" t="s">
        <v>119</v>
      </c>
      <c r="B47" s="428"/>
      <c r="C47" s="417" t="s">
        <v>120</v>
      </c>
      <c r="D47" s="418"/>
      <c r="E47" s="417" t="s">
        <v>120</v>
      </c>
      <c r="F47" s="418"/>
      <c r="G47" s="417" t="s">
        <v>120</v>
      </c>
      <c r="H47" s="418"/>
      <c r="I47" s="417" t="s">
        <v>120</v>
      </c>
      <c r="J47" s="418"/>
      <c r="K47" s="417" t="s">
        <v>120</v>
      </c>
      <c r="L47" s="418"/>
      <c r="M47" s="417" t="s">
        <v>120</v>
      </c>
      <c r="N47" s="418"/>
      <c r="O47" s="417" t="s">
        <v>120</v>
      </c>
      <c r="P47" s="418"/>
      <c r="Q47" s="417" t="s">
        <v>120</v>
      </c>
      <c r="R47" s="418"/>
      <c r="S47" s="417" t="s">
        <v>120</v>
      </c>
      <c r="T47" s="418"/>
      <c r="U47" s="20"/>
      <c r="AJ47" s="108">
        <v>46</v>
      </c>
      <c r="AK47" s="177">
        <v>45146</v>
      </c>
      <c r="AL47" s="179" t="s">
        <v>220</v>
      </c>
      <c r="AM47" s="176" t="s">
        <v>93</v>
      </c>
      <c r="AN47" s="178" t="s">
        <v>221</v>
      </c>
      <c r="AO47" s="108" t="s">
        <v>189</v>
      </c>
      <c r="AP47" s="178" t="s">
        <v>555</v>
      </c>
    </row>
    <row r="48" spans="1:42">
      <c r="A48" s="429"/>
      <c r="B48" s="430"/>
      <c r="C48" s="419"/>
      <c r="D48" s="420"/>
      <c r="E48" s="419"/>
      <c r="F48" s="420"/>
      <c r="G48" s="419"/>
      <c r="H48" s="420"/>
      <c r="I48" s="419"/>
      <c r="J48" s="420"/>
      <c r="K48" s="419"/>
      <c r="L48" s="420"/>
      <c r="M48" s="419"/>
      <c r="N48" s="420"/>
      <c r="O48" s="419"/>
      <c r="P48" s="420"/>
      <c r="Q48" s="419"/>
      <c r="R48" s="420"/>
      <c r="S48" s="419"/>
      <c r="T48" s="420"/>
      <c r="U48" s="20"/>
      <c r="AJ48" s="108">
        <v>47</v>
      </c>
      <c r="AK48" s="180">
        <v>45148</v>
      </c>
      <c r="AL48" s="181" t="s">
        <v>222</v>
      </c>
      <c r="AM48" s="182" t="s">
        <v>93</v>
      </c>
      <c r="AN48" s="183" t="s">
        <v>181</v>
      </c>
      <c r="AO48" s="184" t="s">
        <v>189</v>
      </c>
      <c r="AP48" s="185" t="s">
        <v>556</v>
      </c>
    </row>
    <row r="49" spans="1:42" ht="15.75" thickBot="1">
      <c r="A49" s="421">
        <v>1.0214000000000001</v>
      </c>
      <c r="B49" s="422"/>
      <c r="C49" s="421">
        <v>1.0487</v>
      </c>
      <c r="D49" s="422"/>
      <c r="E49" s="421">
        <v>1.0008999999999999</v>
      </c>
      <c r="F49" s="422"/>
      <c r="G49" s="421">
        <v>1.0168999999999999</v>
      </c>
      <c r="H49" s="422"/>
      <c r="I49" s="421">
        <v>1.0011000000000001</v>
      </c>
      <c r="J49" s="423"/>
      <c r="K49" s="424" t="e">
        <v>#DIV/0!</v>
      </c>
      <c r="L49" s="425"/>
      <c r="M49" s="426">
        <v>1.0273000000000001</v>
      </c>
      <c r="N49" s="422"/>
      <c r="O49" s="421">
        <v>1.0008999999999999</v>
      </c>
      <c r="P49" s="422"/>
      <c r="Q49" s="421">
        <v>1.0542</v>
      </c>
      <c r="R49" s="422"/>
      <c r="S49" s="421">
        <v>1.0214000000000001</v>
      </c>
      <c r="T49" s="423"/>
      <c r="U49" s="20"/>
      <c r="AJ49" s="108">
        <v>48</v>
      </c>
      <c r="AK49" s="180">
        <v>45148</v>
      </c>
      <c r="AL49" s="181" t="s">
        <v>223</v>
      </c>
      <c r="AM49" s="182" t="s">
        <v>93</v>
      </c>
      <c r="AN49" s="183" t="s">
        <v>181</v>
      </c>
      <c r="AO49" s="184" t="s">
        <v>189</v>
      </c>
      <c r="AP49" s="185" t="s">
        <v>557</v>
      </c>
    </row>
    <row r="50" spans="1:42" ht="15.75" thickBot="1">
      <c r="A50" s="306"/>
      <c r="B50" s="307"/>
      <c r="C50" s="307"/>
      <c r="D50" s="307"/>
      <c r="E50" s="307"/>
      <c r="F50" s="307"/>
      <c r="G50" s="307"/>
      <c r="H50" s="307"/>
      <c r="I50" s="307"/>
      <c r="J50" s="307"/>
      <c r="K50" s="307"/>
      <c r="L50" s="307"/>
      <c r="M50" s="307"/>
      <c r="N50" s="307"/>
      <c r="O50" s="307"/>
      <c r="P50" s="307"/>
      <c r="Q50" s="307"/>
      <c r="R50" s="307"/>
      <c r="S50" s="307"/>
      <c r="T50" s="307"/>
      <c r="U50" s="20"/>
      <c r="AJ50" s="108">
        <v>49</v>
      </c>
      <c r="AK50" s="180">
        <v>45148</v>
      </c>
      <c r="AL50" s="181" t="s">
        <v>224</v>
      </c>
      <c r="AM50" s="182" t="s">
        <v>93</v>
      </c>
      <c r="AN50" s="183" t="s">
        <v>181</v>
      </c>
      <c r="AO50" s="184" t="s">
        <v>189</v>
      </c>
      <c r="AP50" s="185" t="s">
        <v>558</v>
      </c>
    </row>
    <row r="51" spans="1:42" ht="15.75" thickBot="1">
      <c r="A51" s="308" t="s">
        <v>121</v>
      </c>
      <c r="B51" s="309"/>
      <c r="C51" s="309"/>
      <c r="D51" s="310">
        <v>2250</v>
      </c>
      <c r="E51" s="309"/>
      <c r="F51" s="310">
        <v>2700</v>
      </c>
      <c r="G51" s="309"/>
      <c r="H51" s="310">
        <v>2250</v>
      </c>
      <c r="I51" s="309"/>
      <c r="J51" s="310">
        <v>2250</v>
      </c>
      <c r="K51" s="309"/>
      <c r="L51" s="310">
        <v>2250</v>
      </c>
      <c r="M51" s="309"/>
      <c r="N51" s="310">
        <v>2250</v>
      </c>
      <c r="O51" s="309"/>
      <c r="P51" s="310">
        <v>2250</v>
      </c>
      <c r="Q51" s="309"/>
      <c r="R51" s="310">
        <v>2250</v>
      </c>
      <c r="S51" s="309"/>
      <c r="T51" s="310">
        <v>2250</v>
      </c>
      <c r="U51" s="20"/>
      <c r="AJ51" s="108">
        <v>50</v>
      </c>
      <c r="AK51" s="177">
        <v>45149</v>
      </c>
      <c r="AL51" s="179" t="s">
        <v>225</v>
      </c>
      <c r="AM51" s="176" t="s">
        <v>93</v>
      </c>
      <c r="AN51" s="178" t="s">
        <v>108</v>
      </c>
      <c r="AO51" s="108" t="s">
        <v>189</v>
      </c>
      <c r="AP51" s="178" t="s">
        <v>559</v>
      </c>
    </row>
    <row r="52" spans="1:42" ht="15.75" thickBot="1">
      <c r="A52" s="311" t="s">
        <v>122</v>
      </c>
      <c r="B52" s="312"/>
      <c r="C52" s="312"/>
      <c r="D52" s="313"/>
      <c r="E52" s="312"/>
      <c r="F52" s="313">
        <v>0</v>
      </c>
      <c r="G52" s="312"/>
      <c r="H52" s="313">
        <v>0</v>
      </c>
      <c r="I52" s="312"/>
      <c r="J52" s="313">
        <v>0</v>
      </c>
      <c r="K52" s="312"/>
      <c r="L52" s="313">
        <v>0</v>
      </c>
      <c r="M52" s="312"/>
      <c r="N52" s="313">
        <v>0</v>
      </c>
      <c r="O52" s="312"/>
      <c r="P52" s="313">
        <v>0</v>
      </c>
      <c r="Q52" s="312"/>
      <c r="R52" s="313">
        <v>0</v>
      </c>
      <c r="S52" s="312"/>
      <c r="T52" s="313">
        <v>0</v>
      </c>
      <c r="U52" s="20"/>
      <c r="AJ52" s="108">
        <v>51</v>
      </c>
      <c r="AK52" s="177">
        <v>45161</v>
      </c>
      <c r="AL52" s="178" t="s">
        <v>226</v>
      </c>
      <c r="AM52" s="176" t="s">
        <v>93</v>
      </c>
      <c r="AN52" s="178" t="s">
        <v>109</v>
      </c>
      <c r="AO52" s="108" t="s">
        <v>189</v>
      </c>
      <c r="AP52" s="178" t="s">
        <v>560</v>
      </c>
    </row>
    <row r="53" spans="1:42" ht="30.75" thickBot="1">
      <c r="A53" s="311" t="s">
        <v>123</v>
      </c>
      <c r="B53" s="312"/>
      <c r="C53" s="312"/>
      <c r="D53" s="314">
        <v>0</v>
      </c>
      <c r="E53" s="312"/>
      <c r="F53" s="315">
        <v>0</v>
      </c>
      <c r="G53" s="312"/>
      <c r="H53" s="315">
        <v>0</v>
      </c>
      <c r="I53" s="312"/>
      <c r="J53" s="315">
        <v>0</v>
      </c>
      <c r="K53" s="312"/>
      <c r="L53" s="316">
        <v>2250</v>
      </c>
      <c r="M53" s="312"/>
      <c r="N53" s="315">
        <v>0</v>
      </c>
      <c r="O53" s="312"/>
      <c r="P53" s="315">
        <v>0</v>
      </c>
      <c r="Q53" s="312"/>
      <c r="R53" s="315">
        <v>0</v>
      </c>
      <c r="S53" s="312"/>
      <c r="T53" s="315">
        <v>450</v>
      </c>
      <c r="U53" s="20"/>
      <c r="AJ53" s="108">
        <v>52</v>
      </c>
      <c r="AK53" s="177">
        <v>45163</v>
      </c>
      <c r="AL53" s="178" t="s">
        <v>227</v>
      </c>
      <c r="AM53" s="176" t="s">
        <v>93</v>
      </c>
      <c r="AN53" s="178" t="s">
        <v>181</v>
      </c>
      <c r="AO53" s="108" t="s">
        <v>189</v>
      </c>
      <c r="AP53" s="178" t="s">
        <v>561</v>
      </c>
    </row>
    <row r="54" spans="1:42" ht="30.75" thickBot="1">
      <c r="A54" s="308" t="s">
        <v>124</v>
      </c>
      <c r="B54" s="309"/>
      <c r="C54" s="309"/>
      <c r="D54" s="317">
        <v>2250</v>
      </c>
      <c r="E54" s="309"/>
      <c r="F54" s="317">
        <v>2700</v>
      </c>
      <c r="G54" s="309"/>
      <c r="H54" s="317">
        <v>2250</v>
      </c>
      <c r="I54" s="309"/>
      <c r="J54" s="317">
        <v>2250</v>
      </c>
      <c r="K54" s="309"/>
      <c r="L54" s="299">
        <v>0</v>
      </c>
      <c r="M54" s="309"/>
      <c r="N54" s="317">
        <v>2250</v>
      </c>
      <c r="O54" s="309"/>
      <c r="P54" s="317">
        <v>2250</v>
      </c>
      <c r="Q54" s="309"/>
      <c r="R54" s="317">
        <v>2250</v>
      </c>
      <c r="S54" s="309"/>
      <c r="T54" s="317">
        <v>1800</v>
      </c>
      <c r="U54" s="20"/>
      <c r="AJ54" s="108">
        <v>53</v>
      </c>
      <c r="AK54" s="180">
        <v>45167</v>
      </c>
      <c r="AL54" s="183" t="s">
        <v>228</v>
      </c>
      <c r="AM54" s="182" t="s">
        <v>93</v>
      </c>
      <c r="AN54" s="183" t="s">
        <v>51</v>
      </c>
      <c r="AO54" s="184" t="s">
        <v>189</v>
      </c>
      <c r="AP54" s="183" t="s">
        <v>562</v>
      </c>
    </row>
    <row r="55" spans="1:42" ht="15.75" thickBot="1">
      <c r="U55" s="20"/>
      <c r="AJ55" s="108">
        <v>54</v>
      </c>
      <c r="AK55" s="177">
        <v>45168</v>
      </c>
      <c r="AL55" s="178" t="s">
        <v>229</v>
      </c>
      <c r="AM55" s="176" t="s">
        <v>93</v>
      </c>
      <c r="AN55" s="178" t="s">
        <v>181</v>
      </c>
      <c r="AO55" s="108" t="s">
        <v>189</v>
      </c>
      <c r="AP55" s="179" t="s">
        <v>563</v>
      </c>
    </row>
    <row r="56" spans="1:42" ht="15" customHeight="1" thickBot="1">
      <c r="A56" s="283">
        <v>45460</v>
      </c>
      <c r="B56" s="284"/>
      <c r="C56" s="413" t="s">
        <v>102</v>
      </c>
      <c r="D56" s="414"/>
      <c r="E56" s="413" t="s">
        <v>107</v>
      </c>
      <c r="F56" s="414"/>
      <c r="G56" s="413" t="s">
        <v>108</v>
      </c>
      <c r="H56" s="414"/>
      <c r="I56" s="413" t="s">
        <v>109</v>
      </c>
      <c r="J56" s="414"/>
      <c r="K56" s="413" t="s">
        <v>110</v>
      </c>
      <c r="L56" s="414"/>
      <c r="M56" s="413" t="s">
        <v>181</v>
      </c>
      <c r="N56" s="415"/>
      <c r="O56" s="416" t="s">
        <v>644</v>
      </c>
      <c r="P56" s="415"/>
      <c r="Q56" s="416" t="s">
        <v>603</v>
      </c>
      <c r="R56" s="415"/>
      <c r="S56" s="416" t="s">
        <v>663</v>
      </c>
      <c r="T56" s="415"/>
      <c r="U56" s="20"/>
      <c r="AJ56" s="108">
        <v>55</v>
      </c>
      <c r="AK56" s="177">
        <v>45181</v>
      </c>
      <c r="AL56" s="178" t="s">
        <v>359</v>
      </c>
      <c r="AM56" s="178" t="s">
        <v>93</v>
      </c>
      <c r="AN56" s="178" t="s">
        <v>110</v>
      </c>
      <c r="AO56" s="178" t="s">
        <v>360</v>
      </c>
      <c r="AP56" s="178" t="s">
        <v>564</v>
      </c>
    </row>
    <row r="57" spans="1:42" ht="15" customHeight="1" thickBot="1">
      <c r="A57" s="285" t="s">
        <v>70</v>
      </c>
      <c r="B57" s="286" t="s">
        <v>111</v>
      </c>
      <c r="C57" s="287" t="s">
        <v>112</v>
      </c>
      <c r="D57" s="288" t="s">
        <v>113</v>
      </c>
      <c r="E57" s="287" t="s">
        <v>112</v>
      </c>
      <c r="F57" s="288" t="s">
        <v>113</v>
      </c>
      <c r="G57" s="287" t="s">
        <v>112</v>
      </c>
      <c r="H57" s="288" t="s">
        <v>113</v>
      </c>
      <c r="I57" s="287" t="s">
        <v>112</v>
      </c>
      <c r="J57" s="288" t="s">
        <v>113</v>
      </c>
      <c r="K57" s="287" t="s">
        <v>112</v>
      </c>
      <c r="L57" s="288" t="s">
        <v>113</v>
      </c>
      <c r="M57" s="287" t="s">
        <v>112</v>
      </c>
      <c r="N57" s="289" t="s">
        <v>113</v>
      </c>
      <c r="O57" s="287" t="s">
        <v>112</v>
      </c>
      <c r="P57" s="289" t="s">
        <v>113</v>
      </c>
      <c r="Q57" s="287" t="s">
        <v>112</v>
      </c>
      <c r="R57" s="289" t="s">
        <v>113</v>
      </c>
      <c r="S57" s="287" t="s">
        <v>112</v>
      </c>
      <c r="T57" s="289" t="s">
        <v>113</v>
      </c>
      <c r="U57" s="20"/>
      <c r="AJ57" s="108">
        <v>56</v>
      </c>
      <c r="AK57" s="177">
        <v>45181</v>
      </c>
      <c r="AL57" s="178" t="s">
        <v>361</v>
      </c>
      <c r="AM57" s="178" t="s">
        <v>93</v>
      </c>
      <c r="AN57" s="178" t="s">
        <v>362</v>
      </c>
      <c r="AO57" s="178" t="s">
        <v>360</v>
      </c>
      <c r="AP57" s="178" t="s">
        <v>564</v>
      </c>
    </row>
    <row r="58" spans="1:42" ht="15.75" thickBot="1">
      <c r="A58" s="290" t="s">
        <v>114</v>
      </c>
      <c r="B58" s="291">
        <v>4</v>
      </c>
      <c r="C58" s="292">
        <v>67</v>
      </c>
      <c r="D58" s="291" t="s">
        <v>1012</v>
      </c>
      <c r="E58" s="292">
        <v>195</v>
      </c>
      <c r="F58" s="291" t="s">
        <v>1013</v>
      </c>
      <c r="G58" s="292">
        <v>58</v>
      </c>
      <c r="H58" s="291" t="s">
        <v>1014</v>
      </c>
      <c r="I58" s="292">
        <v>0</v>
      </c>
      <c r="J58" s="291" t="s">
        <v>740</v>
      </c>
      <c r="K58" s="292">
        <v>92</v>
      </c>
      <c r="L58" s="291" t="s">
        <v>1015</v>
      </c>
      <c r="M58" s="292">
        <v>75</v>
      </c>
      <c r="N58" s="291" t="s">
        <v>1016</v>
      </c>
      <c r="O58" s="292">
        <v>106</v>
      </c>
      <c r="P58" s="291" t="s">
        <v>984</v>
      </c>
      <c r="Q58" s="292">
        <v>124</v>
      </c>
      <c r="R58" s="291" t="s">
        <v>830</v>
      </c>
      <c r="S58" s="292">
        <v>119</v>
      </c>
      <c r="T58" s="291" t="s">
        <v>1017</v>
      </c>
      <c r="U58" s="20"/>
      <c r="AJ58" s="108">
        <v>57</v>
      </c>
      <c r="AK58" s="180">
        <v>45183</v>
      </c>
      <c r="AL58" s="183" t="s">
        <v>363</v>
      </c>
      <c r="AM58" s="183" t="s">
        <v>93</v>
      </c>
      <c r="AN58" s="183" t="s">
        <v>181</v>
      </c>
      <c r="AO58" s="181" t="s">
        <v>364</v>
      </c>
      <c r="AP58" s="181" t="s">
        <v>565</v>
      </c>
    </row>
    <row r="59" spans="1:42" ht="15.75" thickBot="1">
      <c r="A59" s="293" t="s">
        <v>115</v>
      </c>
      <c r="B59" s="294">
        <v>3</v>
      </c>
      <c r="C59" s="295">
        <v>14</v>
      </c>
      <c r="D59" s="296" t="s">
        <v>854</v>
      </c>
      <c r="E59" s="295">
        <v>328</v>
      </c>
      <c r="F59" s="296" t="s">
        <v>1018</v>
      </c>
      <c r="G59" s="295">
        <v>485</v>
      </c>
      <c r="H59" s="296" t="s">
        <v>953</v>
      </c>
      <c r="I59" s="295">
        <v>213</v>
      </c>
      <c r="J59" s="296" t="s">
        <v>1019</v>
      </c>
      <c r="K59" s="295">
        <v>383</v>
      </c>
      <c r="L59" s="296" t="s">
        <v>1020</v>
      </c>
      <c r="M59" s="295">
        <v>432</v>
      </c>
      <c r="N59" s="296" t="s">
        <v>1021</v>
      </c>
      <c r="O59" s="295">
        <v>514</v>
      </c>
      <c r="P59" s="296" t="s">
        <v>844</v>
      </c>
      <c r="Q59" s="295">
        <v>507</v>
      </c>
      <c r="R59" s="296" t="s">
        <v>1022</v>
      </c>
      <c r="S59" s="295">
        <v>465</v>
      </c>
      <c r="T59" s="296" t="s">
        <v>1023</v>
      </c>
      <c r="U59" s="20"/>
      <c r="AJ59" s="108">
        <v>58</v>
      </c>
      <c r="AK59" s="180">
        <v>45184</v>
      </c>
      <c r="AL59" s="183" t="s">
        <v>365</v>
      </c>
      <c r="AM59" s="183" t="s">
        <v>366</v>
      </c>
      <c r="AN59" s="183" t="s">
        <v>181</v>
      </c>
      <c r="AO59" s="184" t="s">
        <v>189</v>
      </c>
      <c r="AP59" s="181" t="s">
        <v>566</v>
      </c>
    </row>
    <row r="60" spans="1:42" ht="30.75" thickBot="1">
      <c r="A60" s="297" t="s">
        <v>340</v>
      </c>
      <c r="B60" s="298">
        <v>3.5</v>
      </c>
      <c r="C60" s="299">
        <v>243</v>
      </c>
      <c r="D60" s="298" t="s">
        <v>1024</v>
      </c>
      <c r="E60" s="299">
        <v>37</v>
      </c>
      <c r="F60" s="298" t="s">
        <v>1025</v>
      </c>
      <c r="G60" s="299">
        <v>108</v>
      </c>
      <c r="H60" s="298" t="s">
        <v>1026</v>
      </c>
      <c r="I60" s="299">
        <v>437</v>
      </c>
      <c r="J60" s="298" t="s">
        <v>1027</v>
      </c>
      <c r="K60" s="299">
        <v>70</v>
      </c>
      <c r="L60" s="298" t="s">
        <v>1028</v>
      </c>
      <c r="M60" s="299">
        <v>65</v>
      </c>
      <c r="N60" s="298" t="s">
        <v>1029</v>
      </c>
      <c r="O60" s="299">
        <v>32</v>
      </c>
      <c r="P60" s="298" t="s">
        <v>1030</v>
      </c>
      <c r="Q60" s="299">
        <v>19</v>
      </c>
      <c r="R60" s="298" t="s">
        <v>835</v>
      </c>
      <c r="S60" s="299">
        <v>60</v>
      </c>
      <c r="T60" s="298" t="s">
        <v>1031</v>
      </c>
      <c r="U60" s="20"/>
      <c r="AJ60" s="108">
        <v>59</v>
      </c>
      <c r="AK60" s="177">
        <v>45189</v>
      </c>
      <c r="AL60" s="178" t="s">
        <v>367</v>
      </c>
      <c r="AM60" s="178" t="s">
        <v>366</v>
      </c>
      <c r="AN60" s="178" t="s">
        <v>110</v>
      </c>
      <c r="AO60" s="108" t="s">
        <v>189</v>
      </c>
      <c r="AP60" s="178" t="s">
        <v>567</v>
      </c>
    </row>
    <row r="61" spans="1:42" ht="30.75" thickBot="1">
      <c r="A61" s="297" t="s">
        <v>126</v>
      </c>
      <c r="B61" s="298">
        <v>1</v>
      </c>
      <c r="C61" s="299">
        <v>0</v>
      </c>
      <c r="D61" s="299" t="s">
        <v>962</v>
      </c>
      <c r="E61" s="299">
        <v>0</v>
      </c>
      <c r="F61" s="299" t="s">
        <v>746</v>
      </c>
      <c r="G61" s="299">
        <v>0</v>
      </c>
      <c r="H61" s="299" t="s">
        <v>747</v>
      </c>
      <c r="I61" s="299">
        <v>0</v>
      </c>
      <c r="J61" s="299" t="s">
        <v>747</v>
      </c>
      <c r="K61" s="299">
        <v>0</v>
      </c>
      <c r="L61" s="299" t="s">
        <v>743</v>
      </c>
      <c r="M61" s="299">
        <v>0</v>
      </c>
      <c r="N61" s="299" t="s">
        <v>840</v>
      </c>
      <c r="O61" s="299">
        <v>0</v>
      </c>
      <c r="P61" s="299" t="s">
        <v>747</v>
      </c>
      <c r="Q61" s="299">
        <v>0</v>
      </c>
      <c r="R61" s="299" t="s">
        <v>747</v>
      </c>
      <c r="S61" s="299">
        <v>0</v>
      </c>
      <c r="T61" s="299" t="s">
        <v>837</v>
      </c>
      <c r="U61" s="20"/>
      <c r="AJ61" s="108">
        <v>60</v>
      </c>
      <c r="AK61" s="177">
        <v>45189</v>
      </c>
      <c r="AL61" s="178" t="s">
        <v>368</v>
      </c>
      <c r="AM61" s="178" t="s">
        <v>93</v>
      </c>
      <c r="AN61" s="178" t="s">
        <v>181</v>
      </c>
      <c r="AO61" s="108" t="s">
        <v>189</v>
      </c>
      <c r="AP61" s="178" t="s">
        <v>568</v>
      </c>
    </row>
    <row r="62" spans="1:42" ht="30.75" thickBot="1">
      <c r="A62" s="293" t="s">
        <v>90</v>
      </c>
      <c r="B62" s="294">
        <v>1</v>
      </c>
      <c r="C62" s="300">
        <v>0</v>
      </c>
      <c r="D62" s="294" t="s">
        <v>740</v>
      </c>
      <c r="E62" s="300">
        <v>0</v>
      </c>
      <c r="F62" s="294" t="s">
        <v>1032</v>
      </c>
      <c r="G62" s="300">
        <v>0</v>
      </c>
      <c r="H62" s="300" t="s">
        <v>740</v>
      </c>
      <c r="I62" s="300">
        <v>0</v>
      </c>
      <c r="J62" s="300" t="s">
        <v>740</v>
      </c>
      <c r="K62" s="300">
        <v>0</v>
      </c>
      <c r="L62" s="294" t="s">
        <v>832</v>
      </c>
      <c r="M62" s="300">
        <v>0</v>
      </c>
      <c r="N62" s="294" t="s">
        <v>839</v>
      </c>
      <c r="O62" s="300">
        <v>0</v>
      </c>
      <c r="P62" s="294" t="s">
        <v>740</v>
      </c>
      <c r="Q62" s="300">
        <v>0</v>
      </c>
      <c r="R62" s="294" t="s">
        <v>740</v>
      </c>
      <c r="S62" s="300">
        <v>0</v>
      </c>
      <c r="T62" s="294" t="s">
        <v>1003</v>
      </c>
      <c r="U62" s="20"/>
      <c r="AJ62" s="108">
        <v>61</v>
      </c>
      <c r="AK62" s="177">
        <v>45190</v>
      </c>
      <c r="AL62" s="178" t="s">
        <v>369</v>
      </c>
      <c r="AM62" s="178" t="s">
        <v>366</v>
      </c>
      <c r="AN62" s="178" t="s">
        <v>370</v>
      </c>
      <c r="AO62" s="178" t="s">
        <v>371</v>
      </c>
      <c r="AP62" s="178" t="s">
        <v>569</v>
      </c>
    </row>
    <row r="63" spans="1:42" ht="15.75" thickBot="1">
      <c r="A63" s="297" t="s">
        <v>116</v>
      </c>
      <c r="B63" s="298">
        <v>1</v>
      </c>
      <c r="C63" s="299">
        <v>0</v>
      </c>
      <c r="D63" s="299" t="s">
        <v>1033</v>
      </c>
      <c r="E63" s="299">
        <v>0</v>
      </c>
      <c r="F63" s="299" t="s">
        <v>742</v>
      </c>
      <c r="G63" s="299">
        <v>0</v>
      </c>
      <c r="H63" s="299" t="s">
        <v>745</v>
      </c>
      <c r="I63" s="299">
        <v>0</v>
      </c>
      <c r="J63" s="299" t="s">
        <v>739</v>
      </c>
      <c r="K63" s="299">
        <v>0</v>
      </c>
      <c r="L63" s="299" t="s">
        <v>737</v>
      </c>
      <c r="M63" s="299">
        <v>0</v>
      </c>
      <c r="N63" s="299" t="s">
        <v>1034</v>
      </c>
      <c r="O63" s="299">
        <v>0</v>
      </c>
      <c r="P63" s="299" t="s">
        <v>852</v>
      </c>
      <c r="Q63" s="299">
        <v>0</v>
      </c>
      <c r="R63" s="299" t="s">
        <v>737</v>
      </c>
      <c r="S63" s="299">
        <v>0</v>
      </c>
      <c r="T63" s="299" t="s">
        <v>1035</v>
      </c>
      <c r="U63" s="20"/>
      <c r="AJ63" s="184">
        <v>62</v>
      </c>
      <c r="AK63" s="180">
        <v>45190</v>
      </c>
      <c r="AL63" s="183" t="s">
        <v>372</v>
      </c>
      <c r="AM63" s="183" t="s">
        <v>366</v>
      </c>
      <c r="AN63" s="183" t="s">
        <v>108</v>
      </c>
      <c r="AO63" s="184" t="s">
        <v>189</v>
      </c>
      <c r="AP63" s="181" t="s">
        <v>570</v>
      </c>
    </row>
    <row r="64" spans="1:42" ht="45.75" thickBot="1">
      <c r="A64" s="301" t="s">
        <v>117</v>
      </c>
      <c r="B64" s="296">
        <v>1</v>
      </c>
      <c r="C64" s="295">
        <v>0</v>
      </c>
      <c r="D64" s="296" t="s">
        <v>1036</v>
      </c>
      <c r="E64" s="295">
        <v>0</v>
      </c>
      <c r="F64" s="296" t="s">
        <v>740</v>
      </c>
      <c r="G64" s="295">
        <v>0</v>
      </c>
      <c r="H64" s="296" t="s">
        <v>1037</v>
      </c>
      <c r="I64" s="295">
        <v>0</v>
      </c>
      <c r="J64" s="296" t="s">
        <v>842</v>
      </c>
      <c r="K64" s="295">
        <v>0</v>
      </c>
      <c r="L64" s="296" t="s">
        <v>740</v>
      </c>
      <c r="M64" s="295">
        <v>0</v>
      </c>
      <c r="N64" s="296" t="s">
        <v>740</v>
      </c>
      <c r="O64" s="295">
        <v>0</v>
      </c>
      <c r="P64" s="296" t="s">
        <v>841</v>
      </c>
      <c r="Q64" s="295">
        <v>0</v>
      </c>
      <c r="R64" s="296" t="s">
        <v>842</v>
      </c>
      <c r="S64" s="295">
        <v>0</v>
      </c>
      <c r="T64" s="296" t="s">
        <v>744</v>
      </c>
      <c r="U64" s="20"/>
      <c r="AJ64" s="108">
        <v>63</v>
      </c>
      <c r="AK64" s="177">
        <v>45195</v>
      </c>
      <c r="AL64" s="179" t="s">
        <v>373</v>
      </c>
      <c r="AM64" s="178" t="s">
        <v>366</v>
      </c>
      <c r="AN64" s="179" t="s">
        <v>137</v>
      </c>
      <c r="AO64" s="108" t="s">
        <v>189</v>
      </c>
      <c r="AP64" s="178" t="s">
        <v>571</v>
      </c>
    </row>
    <row r="65" spans="1:42" ht="30.75" thickBot="1">
      <c r="A65" s="297" t="s">
        <v>118</v>
      </c>
      <c r="B65" s="298">
        <v>1</v>
      </c>
      <c r="C65" s="299">
        <v>0</v>
      </c>
      <c r="D65" s="299" t="s">
        <v>1038</v>
      </c>
      <c r="E65" s="299">
        <v>0</v>
      </c>
      <c r="F65" s="299" t="s">
        <v>841</v>
      </c>
      <c r="G65" s="299">
        <v>0</v>
      </c>
      <c r="H65" s="299" t="s">
        <v>1033</v>
      </c>
      <c r="I65" s="299">
        <v>0</v>
      </c>
      <c r="J65" s="299" t="s">
        <v>740</v>
      </c>
      <c r="K65" s="299">
        <v>0</v>
      </c>
      <c r="L65" s="299" t="s">
        <v>740</v>
      </c>
      <c r="M65" s="299">
        <v>0</v>
      </c>
      <c r="N65" s="299" t="s">
        <v>740</v>
      </c>
      <c r="O65" s="299">
        <v>0</v>
      </c>
      <c r="P65" s="299"/>
      <c r="Q65" s="299">
        <v>0</v>
      </c>
      <c r="R65" s="299" t="s">
        <v>740</v>
      </c>
      <c r="S65" s="299">
        <v>0</v>
      </c>
      <c r="T65" s="299" t="s">
        <v>740</v>
      </c>
      <c r="U65" s="20"/>
      <c r="AJ65" s="108">
        <v>64</v>
      </c>
      <c r="AK65" s="177">
        <v>45203</v>
      </c>
      <c r="AL65" s="178" t="s">
        <v>374</v>
      </c>
      <c r="AM65" s="178" t="s">
        <v>375</v>
      </c>
      <c r="AN65" s="179" t="s">
        <v>54</v>
      </c>
      <c r="AO65" s="108" t="s">
        <v>189</v>
      </c>
      <c r="AP65" s="178" t="s">
        <v>572</v>
      </c>
    </row>
    <row r="66" spans="1:42" ht="30.75" thickBot="1">
      <c r="A66" s="302" t="s">
        <v>1</v>
      </c>
      <c r="B66" s="303"/>
      <c r="C66" s="304">
        <v>324</v>
      </c>
      <c r="D66" s="305" t="s">
        <v>1039</v>
      </c>
      <c r="E66" s="304">
        <v>560</v>
      </c>
      <c r="F66" s="305" t="s">
        <v>1040</v>
      </c>
      <c r="G66" s="304">
        <v>651</v>
      </c>
      <c r="H66" s="305" t="s">
        <v>1041</v>
      </c>
      <c r="I66" s="304">
        <v>650</v>
      </c>
      <c r="J66" s="305" t="s">
        <v>1042</v>
      </c>
      <c r="K66" s="304">
        <v>545</v>
      </c>
      <c r="L66" s="305" t="s">
        <v>1043</v>
      </c>
      <c r="M66" s="304">
        <v>572</v>
      </c>
      <c r="N66" s="305" t="s">
        <v>1044</v>
      </c>
      <c r="O66" s="304">
        <v>652</v>
      </c>
      <c r="P66" s="305">
        <v>2285.5</v>
      </c>
      <c r="Q66" s="304">
        <v>650</v>
      </c>
      <c r="R66" s="305" t="s">
        <v>1045</v>
      </c>
      <c r="S66" s="304">
        <v>644</v>
      </c>
      <c r="T66" s="305" t="s">
        <v>1046</v>
      </c>
      <c r="U66" s="20"/>
      <c r="AJ66" s="108">
        <v>65</v>
      </c>
      <c r="AK66" s="177">
        <v>45206</v>
      </c>
      <c r="AL66" s="178" t="s">
        <v>376</v>
      </c>
      <c r="AM66" s="178" t="s">
        <v>375</v>
      </c>
      <c r="AN66" s="178" t="s">
        <v>107</v>
      </c>
      <c r="AO66" s="108" t="s">
        <v>189</v>
      </c>
      <c r="AP66" s="178" t="s">
        <v>573</v>
      </c>
    </row>
    <row r="67" spans="1:42" ht="15" customHeight="1">
      <c r="A67" s="427" t="s">
        <v>119</v>
      </c>
      <c r="B67" s="428"/>
      <c r="C67" s="417" t="s">
        <v>120</v>
      </c>
      <c r="D67" s="418"/>
      <c r="E67" s="417" t="s">
        <v>120</v>
      </c>
      <c r="F67" s="418"/>
      <c r="G67" s="417" t="s">
        <v>120</v>
      </c>
      <c r="H67" s="418"/>
      <c r="I67" s="417" t="s">
        <v>120</v>
      </c>
      <c r="J67" s="418"/>
      <c r="K67" s="417" t="s">
        <v>120</v>
      </c>
      <c r="L67" s="418"/>
      <c r="M67" s="417" t="s">
        <v>120</v>
      </c>
      <c r="N67" s="418"/>
      <c r="O67" s="417" t="s">
        <v>120</v>
      </c>
      <c r="P67" s="418"/>
      <c r="Q67" s="417" t="s">
        <v>120</v>
      </c>
      <c r="R67" s="418"/>
      <c r="S67" s="417" t="s">
        <v>120</v>
      </c>
      <c r="T67" s="418"/>
      <c r="U67" s="20"/>
      <c r="AJ67" s="108">
        <v>66</v>
      </c>
      <c r="AK67" s="177">
        <v>45206</v>
      </c>
      <c r="AL67" s="178" t="s">
        <v>377</v>
      </c>
      <c r="AM67" s="178" t="s">
        <v>375</v>
      </c>
      <c r="AN67" s="178" t="s">
        <v>107</v>
      </c>
      <c r="AO67" s="108" t="s">
        <v>189</v>
      </c>
      <c r="AP67" s="178" t="s">
        <v>574</v>
      </c>
    </row>
    <row r="68" spans="1:42">
      <c r="A68" s="429"/>
      <c r="B68" s="430"/>
      <c r="C68" s="419"/>
      <c r="D68" s="420"/>
      <c r="E68" s="419"/>
      <c r="F68" s="420"/>
      <c r="G68" s="419"/>
      <c r="H68" s="420"/>
      <c r="I68" s="419"/>
      <c r="J68" s="420"/>
      <c r="K68" s="419"/>
      <c r="L68" s="420"/>
      <c r="M68" s="419"/>
      <c r="N68" s="420"/>
      <c r="O68" s="419"/>
      <c r="P68" s="420"/>
      <c r="Q68" s="419"/>
      <c r="R68" s="420"/>
      <c r="S68" s="419"/>
      <c r="T68" s="420"/>
      <c r="U68" s="20"/>
      <c r="AJ68" s="184">
        <v>67</v>
      </c>
      <c r="AK68" s="180">
        <v>45222</v>
      </c>
      <c r="AL68" s="183" t="s">
        <v>378</v>
      </c>
      <c r="AM68" s="183" t="s">
        <v>375</v>
      </c>
      <c r="AN68" s="183" t="s">
        <v>108</v>
      </c>
      <c r="AO68" s="184" t="s">
        <v>189</v>
      </c>
      <c r="AP68" s="181" t="s">
        <v>575</v>
      </c>
    </row>
    <row r="69" spans="1:42" ht="15.75" thickBot="1">
      <c r="A69" s="421">
        <v>1.0127999999999999</v>
      </c>
      <c r="B69" s="422"/>
      <c r="C69" s="421">
        <v>1.0222</v>
      </c>
      <c r="D69" s="422"/>
      <c r="E69" s="421">
        <v>1.0048999999999999</v>
      </c>
      <c r="F69" s="422"/>
      <c r="G69" s="421">
        <v>1.0002</v>
      </c>
      <c r="H69" s="422"/>
      <c r="I69" s="421">
        <v>1.0348999999999999</v>
      </c>
      <c r="J69" s="422"/>
      <c r="K69" s="421">
        <v>1.0053000000000001</v>
      </c>
      <c r="L69" s="422"/>
      <c r="M69" s="421">
        <v>1.0127999999999999</v>
      </c>
      <c r="N69" s="422"/>
      <c r="O69" s="421">
        <v>1.0158</v>
      </c>
      <c r="P69" s="422"/>
      <c r="Q69" s="421">
        <v>1.0038</v>
      </c>
      <c r="R69" s="422"/>
      <c r="S69" s="421">
        <v>1.0148999999999999</v>
      </c>
      <c r="T69" s="423"/>
      <c r="U69" s="20"/>
      <c r="AJ69" s="184">
        <v>68</v>
      </c>
      <c r="AK69" s="180">
        <v>45224</v>
      </c>
      <c r="AL69" s="183" t="s">
        <v>379</v>
      </c>
      <c r="AM69" s="183" t="s">
        <v>375</v>
      </c>
      <c r="AN69" s="183" t="s">
        <v>181</v>
      </c>
      <c r="AO69" s="184" t="s">
        <v>189</v>
      </c>
      <c r="AP69" s="181" t="s">
        <v>576</v>
      </c>
    </row>
    <row r="70" spans="1:42" ht="30.75" thickBot="1">
      <c r="A70" s="306"/>
      <c r="B70" s="307"/>
      <c r="C70" s="307"/>
      <c r="D70" s="307"/>
      <c r="E70" s="307"/>
      <c r="F70" s="307"/>
      <c r="G70" s="307"/>
      <c r="H70" s="307"/>
      <c r="I70" s="307"/>
      <c r="J70" s="307"/>
      <c r="K70" s="307"/>
      <c r="L70" s="307"/>
      <c r="M70" s="307"/>
      <c r="N70" s="307"/>
      <c r="O70" s="307"/>
      <c r="P70" s="307"/>
      <c r="Q70" s="307"/>
      <c r="R70" s="307"/>
      <c r="S70" s="307"/>
      <c r="T70" s="307"/>
      <c r="U70" s="20"/>
      <c r="AJ70" s="108">
        <v>69</v>
      </c>
      <c r="AK70" s="177">
        <v>45226</v>
      </c>
      <c r="AL70" s="178" t="s">
        <v>380</v>
      </c>
      <c r="AM70" s="178" t="s">
        <v>375</v>
      </c>
      <c r="AN70" s="178" t="s">
        <v>181</v>
      </c>
      <c r="AO70" s="108" t="s">
        <v>189</v>
      </c>
      <c r="AP70" s="178" t="s">
        <v>577</v>
      </c>
    </row>
    <row r="71" spans="1:42" ht="30.75" thickBot="1">
      <c r="A71" s="308" t="s">
        <v>121</v>
      </c>
      <c r="B71" s="309"/>
      <c r="C71" s="309"/>
      <c r="D71" s="310">
        <v>2250</v>
      </c>
      <c r="E71" s="309"/>
      <c r="F71" s="310">
        <v>2250</v>
      </c>
      <c r="G71" s="309"/>
      <c r="H71" s="310">
        <v>2250</v>
      </c>
      <c r="I71" s="309"/>
      <c r="J71" s="310">
        <v>2250</v>
      </c>
      <c r="K71" s="309"/>
      <c r="L71" s="310">
        <v>2250</v>
      </c>
      <c r="M71" s="309"/>
      <c r="N71" s="310">
        <v>2250</v>
      </c>
      <c r="O71" s="309"/>
      <c r="P71" s="310">
        <v>2250</v>
      </c>
      <c r="Q71" s="309"/>
      <c r="R71" s="310">
        <v>2250</v>
      </c>
      <c r="S71" s="309"/>
      <c r="T71" s="310">
        <v>2250</v>
      </c>
      <c r="U71" s="20"/>
      <c r="AJ71" s="108">
        <v>70</v>
      </c>
      <c r="AK71" s="177">
        <v>45229</v>
      </c>
      <c r="AL71" s="178" t="s">
        <v>381</v>
      </c>
      <c r="AM71" s="178" t="s">
        <v>375</v>
      </c>
      <c r="AN71" s="178" t="s">
        <v>102</v>
      </c>
      <c r="AO71" s="108" t="s">
        <v>189</v>
      </c>
      <c r="AP71" s="178" t="s">
        <v>578</v>
      </c>
    </row>
    <row r="72" spans="1:42" ht="30.75" thickBot="1">
      <c r="A72" s="311" t="s">
        <v>122</v>
      </c>
      <c r="B72" s="312"/>
      <c r="C72" s="312"/>
      <c r="D72" s="313"/>
      <c r="E72" s="312"/>
      <c r="F72" s="313">
        <v>0</v>
      </c>
      <c r="G72" s="312"/>
      <c r="H72" s="313">
        <v>0</v>
      </c>
      <c r="I72" s="312"/>
      <c r="J72" s="313">
        <v>0</v>
      </c>
      <c r="K72" s="312"/>
      <c r="L72" s="313">
        <v>0</v>
      </c>
      <c r="M72" s="312"/>
      <c r="N72" s="313">
        <v>0</v>
      </c>
      <c r="O72" s="312"/>
      <c r="P72" s="313">
        <v>0</v>
      </c>
      <c r="Q72" s="312"/>
      <c r="R72" s="313">
        <v>0</v>
      </c>
      <c r="S72" s="312"/>
      <c r="T72" s="313">
        <v>0</v>
      </c>
      <c r="U72" s="20"/>
      <c r="AJ72" s="108">
        <v>71</v>
      </c>
      <c r="AK72" s="177">
        <v>45229</v>
      </c>
      <c r="AL72" s="178" t="s">
        <v>382</v>
      </c>
      <c r="AM72" s="178" t="s">
        <v>375</v>
      </c>
      <c r="AN72" s="178" t="s">
        <v>107</v>
      </c>
      <c r="AO72" s="108" t="s">
        <v>189</v>
      </c>
      <c r="AP72" s="178" t="s">
        <v>579</v>
      </c>
    </row>
    <row r="73" spans="1:42" ht="30.75" thickBot="1">
      <c r="A73" s="311" t="s">
        <v>123</v>
      </c>
      <c r="B73" s="312"/>
      <c r="C73" s="312"/>
      <c r="D73" s="314">
        <v>0</v>
      </c>
      <c r="E73" s="312"/>
      <c r="F73" s="315">
        <v>0</v>
      </c>
      <c r="G73" s="312"/>
      <c r="H73" s="315">
        <v>0</v>
      </c>
      <c r="I73" s="312"/>
      <c r="J73" s="315">
        <v>0</v>
      </c>
      <c r="K73" s="312"/>
      <c r="L73" s="315">
        <v>0</v>
      </c>
      <c r="M73" s="312"/>
      <c r="N73" s="315">
        <v>225</v>
      </c>
      <c r="O73" s="312"/>
      <c r="P73" s="315">
        <v>0</v>
      </c>
      <c r="Q73" s="312"/>
      <c r="R73" s="315">
        <v>0</v>
      </c>
      <c r="S73" s="312"/>
      <c r="T73" s="315">
        <v>0</v>
      </c>
      <c r="U73" s="20"/>
      <c r="AJ73" s="108">
        <v>72</v>
      </c>
      <c r="AK73" s="177">
        <v>45229</v>
      </c>
      <c r="AL73" s="178" t="s">
        <v>383</v>
      </c>
      <c r="AM73" s="178" t="s">
        <v>375</v>
      </c>
      <c r="AN73" s="178" t="s">
        <v>107</v>
      </c>
      <c r="AO73" s="108" t="s">
        <v>189</v>
      </c>
      <c r="AP73" s="178" t="s">
        <v>580</v>
      </c>
    </row>
    <row r="74" spans="1:42" ht="15.75" thickBot="1">
      <c r="A74" s="308" t="s">
        <v>124</v>
      </c>
      <c r="B74" s="309"/>
      <c r="C74" s="309"/>
      <c r="D74" s="317">
        <v>2250</v>
      </c>
      <c r="E74" s="309"/>
      <c r="F74" s="317">
        <v>2250</v>
      </c>
      <c r="G74" s="309"/>
      <c r="H74" s="317">
        <v>2250</v>
      </c>
      <c r="I74" s="309"/>
      <c r="J74" s="317">
        <v>2250</v>
      </c>
      <c r="K74" s="309"/>
      <c r="L74" s="317">
        <v>2250</v>
      </c>
      <c r="M74" s="309"/>
      <c r="N74" s="317">
        <v>2025</v>
      </c>
      <c r="O74" s="309"/>
      <c r="P74" s="317">
        <v>2250</v>
      </c>
      <c r="Q74" s="309"/>
      <c r="R74" s="317">
        <v>2250</v>
      </c>
      <c r="S74" s="309"/>
      <c r="T74" s="317">
        <v>2250</v>
      </c>
      <c r="U74" s="20"/>
      <c r="AJ74" s="108">
        <v>73</v>
      </c>
      <c r="AK74" s="177">
        <v>45225</v>
      </c>
      <c r="AL74" s="178" t="s">
        <v>384</v>
      </c>
      <c r="AM74" s="178" t="s">
        <v>375</v>
      </c>
      <c r="AN74" s="178" t="s">
        <v>108</v>
      </c>
      <c r="AO74" s="108" t="s">
        <v>189</v>
      </c>
      <c r="AP74" s="178" t="s">
        <v>581</v>
      </c>
    </row>
    <row r="75" spans="1:42" ht="30.75" thickBot="1">
      <c r="U75" s="20"/>
      <c r="AJ75" s="108">
        <v>74</v>
      </c>
      <c r="AK75" s="177">
        <v>45237</v>
      </c>
      <c r="AL75" s="178" t="s">
        <v>479</v>
      </c>
      <c r="AM75" s="178" t="s">
        <v>375</v>
      </c>
      <c r="AN75" s="178" t="s">
        <v>102</v>
      </c>
      <c r="AO75" s="108" t="s">
        <v>189</v>
      </c>
      <c r="AP75" s="178" t="s">
        <v>582</v>
      </c>
    </row>
    <row r="76" spans="1:42" ht="60.75" thickBot="1">
      <c r="A76" s="283">
        <v>45467</v>
      </c>
      <c r="B76" s="284"/>
      <c r="C76" s="413" t="s">
        <v>102</v>
      </c>
      <c r="D76" s="414"/>
      <c r="E76" s="413" t="s">
        <v>107</v>
      </c>
      <c r="F76" s="414"/>
      <c r="G76" s="413" t="s">
        <v>108</v>
      </c>
      <c r="H76" s="414"/>
      <c r="I76" s="413" t="s">
        <v>109</v>
      </c>
      <c r="J76" s="414"/>
      <c r="K76" s="413" t="s">
        <v>110</v>
      </c>
      <c r="L76" s="414"/>
      <c r="M76" s="413" t="s">
        <v>181</v>
      </c>
      <c r="N76" s="415"/>
      <c r="O76" s="416" t="s">
        <v>644</v>
      </c>
      <c r="P76" s="415"/>
      <c r="Q76" s="416" t="s">
        <v>603</v>
      </c>
      <c r="R76" s="415"/>
      <c r="S76" s="416" t="s">
        <v>663</v>
      </c>
      <c r="T76" s="415"/>
      <c r="U76" s="20"/>
      <c r="AJ76" s="108">
        <v>75</v>
      </c>
      <c r="AK76" s="177">
        <v>45238</v>
      </c>
      <c r="AL76" s="178" t="s">
        <v>480</v>
      </c>
      <c r="AM76" s="178" t="s">
        <v>366</v>
      </c>
      <c r="AN76" s="178" t="s">
        <v>181</v>
      </c>
      <c r="AO76" s="108" t="s">
        <v>189</v>
      </c>
      <c r="AP76" s="178" t="s">
        <v>583</v>
      </c>
    </row>
    <row r="77" spans="1:42" ht="60.75" thickBot="1">
      <c r="A77" s="285" t="s">
        <v>70</v>
      </c>
      <c r="B77" s="286" t="s">
        <v>111</v>
      </c>
      <c r="C77" s="287" t="s">
        <v>112</v>
      </c>
      <c r="D77" s="288" t="s">
        <v>113</v>
      </c>
      <c r="E77" s="287" t="s">
        <v>112</v>
      </c>
      <c r="F77" s="288" t="s">
        <v>113</v>
      </c>
      <c r="G77" s="287" t="s">
        <v>112</v>
      </c>
      <c r="H77" s="288" t="s">
        <v>113</v>
      </c>
      <c r="I77" s="287" t="s">
        <v>112</v>
      </c>
      <c r="J77" s="288" t="s">
        <v>113</v>
      </c>
      <c r="K77" s="287" t="s">
        <v>112</v>
      </c>
      <c r="L77" s="288" t="s">
        <v>113</v>
      </c>
      <c r="M77" s="287" t="s">
        <v>112</v>
      </c>
      <c r="N77" s="289" t="s">
        <v>113</v>
      </c>
      <c r="O77" s="287" t="s">
        <v>112</v>
      </c>
      <c r="P77" s="289" t="s">
        <v>113</v>
      </c>
      <c r="Q77" s="287" t="s">
        <v>112</v>
      </c>
      <c r="R77" s="289" t="s">
        <v>113</v>
      </c>
      <c r="S77" s="287" t="s">
        <v>112</v>
      </c>
      <c r="T77" s="289" t="s">
        <v>113</v>
      </c>
      <c r="U77" s="20"/>
      <c r="AJ77" s="108">
        <v>76</v>
      </c>
      <c r="AK77" s="177">
        <v>45238</v>
      </c>
      <c r="AL77" s="178" t="s">
        <v>481</v>
      </c>
      <c r="AM77" s="178" t="s">
        <v>482</v>
      </c>
      <c r="AN77" s="178" t="s">
        <v>102</v>
      </c>
      <c r="AO77" s="108" t="s">
        <v>189</v>
      </c>
      <c r="AP77" s="178" t="s">
        <v>584</v>
      </c>
    </row>
    <row r="78" spans="1:42" ht="15.75" thickBot="1">
      <c r="A78" s="290" t="s">
        <v>114</v>
      </c>
      <c r="B78" s="291">
        <v>4</v>
      </c>
      <c r="C78" s="292">
        <v>106</v>
      </c>
      <c r="D78" s="291">
        <v>424</v>
      </c>
      <c r="E78" s="292">
        <v>217</v>
      </c>
      <c r="F78" s="291">
        <v>868</v>
      </c>
      <c r="G78" s="292">
        <v>55</v>
      </c>
      <c r="H78" s="291">
        <v>220</v>
      </c>
      <c r="I78" s="292">
        <v>89</v>
      </c>
      <c r="J78" s="291">
        <v>356</v>
      </c>
      <c r="K78" s="292">
        <v>113</v>
      </c>
      <c r="L78" s="291">
        <v>452</v>
      </c>
      <c r="M78" s="292">
        <v>46</v>
      </c>
      <c r="N78" s="291">
        <v>184</v>
      </c>
      <c r="O78" s="292">
        <v>69</v>
      </c>
      <c r="P78" s="291">
        <v>276</v>
      </c>
      <c r="Q78" s="292">
        <v>160</v>
      </c>
      <c r="R78" s="291">
        <v>640</v>
      </c>
      <c r="S78" s="292">
        <v>75</v>
      </c>
      <c r="T78" s="291">
        <v>300</v>
      </c>
      <c r="U78" s="20"/>
      <c r="AJ78" s="108">
        <v>77</v>
      </c>
      <c r="AK78" s="180">
        <v>45247</v>
      </c>
      <c r="AL78" s="183" t="s">
        <v>483</v>
      </c>
      <c r="AM78" s="183" t="s">
        <v>482</v>
      </c>
      <c r="AN78" s="183" t="s">
        <v>110</v>
      </c>
      <c r="AO78" s="183" t="s">
        <v>189</v>
      </c>
      <c r="AP78" s="184" t="s">
        <v>585</v>
      </c>
    </row>
    <row r="79" spans="1:42" ht="30.75" thickBot="1">
      <c r="A79" s="293" t="s">
        <v>115</v>
      </c>
      <c r="B79" s="294">
        <v>3</v>
      </c>
      <c r="C79" s="295">
        <v>156</v>
      </c>
      <c r="D79" s="296">
        <v>468</v>
      </c>
      <c r="E79" s="295">
        <v>235</v>
      </c>
      <c r="F79" s="296">
        <v>705</v>
      </c>
      <c r="G79" s="295">
        <v>496</v>
      </c>
      <c r="H79" s="318">
        <v>1488</v>
      </c>
      <c r="I79" s="295">
        <v>491</v>
      </c>
      <c r="J79" s="318">
        <v>1473</v>
      </c>
      <c r="K79" s="295">
        <v>326</v>
      </c>
      <c r="L79" s="296">
        <v>978</v>
      </c>
      <c r="M79" s="295">
        <v>429</v>
      </c>
      <c r="N79" s="318">
        <v>1287</v>
      </c>
      <c r="O79" s="295">
        <v>538</v>
      </c>
      <c r="P79" s="318">
        <v>1614</v>
      </c>
      <c r="Q79" s="295">
        <v>452</v>
      </c>
      <c r="R79" s="318">
        <v>1356</v>
      </c>
      <c r="S79" s="295">
        <v>111</v>
      </c>
      <c r="T79" s="296">
        <v>333</v>
      </c>
      <c r="U79" s="20"/>
      <c r="AJ79" s="108">
        <v>78</v>
      </c>
      <c r="AK79" s="177">
        <v>45250</v>
      </c>
      <c r="AL79" s="178" t="s">
        <v>484</v>
      </c>
      <c r="AM79" s="178" t="s">
        <v>482</v>
      </c>
      <c r="AN79" s="178" t="s">
        <v>181</v>
      </c>
      <c r="AO79" s="108" t="s">
        <v>189</v>
      </c>
      <c r="AP79" s="178" t="s">
        <v>586</v>
      </c>
    </row>
    <row r="80" spans="1:42" ht="15.75" thickBot="1">
      <c r="A80" s="297" t="s">
        <v>340</v>
      </c>
      <c r="B80" s="298">
        <v>3.5</v>
      </c>
      <c r="C80" s="299">
        <v>9</v>
      </c>
      <c r="D80" s="298">
        <v>31.5</v>
      </c>
      <c r="E80" s="299">
        <v>99</v>
      </c>
      <c r="F80" s="298">
        <v>346.5</v>
      </c>
      <c r="G80" s="299">
        <v>78</v>
      </c>
      <c r="H80" s="298">
        <v>273</v>
      </c>
      <c r="I80" s="299">
        <v>50</v>
      </c>
      <c r="J80" s="298">
        <v>175</v>
      </c>
      <c r="K80" s="299">
        <v>11</v>
      </c>
      <c r="L80" s="298">
        <v>38.5</v>
      </c>
      <c r="M80" s="299">
        <v>23</v>
      </c>
      <c r="N80" s="298">
        <v>80.5</v>
      </c>
      <c r="O80" s="299">
        <v>31</v>
      </c>
      <c r="P80" s="298">
        <v>108.5</v>
      </c>
      <c r="Q80" s="299">
        <v>19</v>
      </c>
      <c r="R80" s="298">
        <v>66.5</v>
      </c>
      <c r="S80" s="299">
        <v>437</v>
      </c>
      <c r="T80" s="319">
        <v>1529.5</v>
      </c>
      <c r="U80" s="20"/>
      <c r="AJ80" s="108">
        <v>79</v>
      </c>
      <c r="AK80" s="180">
        <v>45258</v>
      </c>
      <c r="AL80" s="183" t="s">
        <v>485</v>
      </c>
      <c r="AM80" s="183" t="s">
        <v>482</v>
      </c>
      <c r="AN80" s="183" t="s">
        <v>181</v>
      </c>
      <c r="AO80" s="183" t="s">
        <v>189</v>
      </c>
      <c r="AP80" s="184" t="s">
        <v>587</v>
      </c>
    </row>
    <row r="81" spans="1:42" ht="15.75" thickBot="1">
      <c r="A81" s="297" t="s">
        <v>126</v>
      </c>
      <c r="B81" s="298">
        <v>1</v>
      </c>
      <c r="C81" s="299">
        <v>0</v>
      </c>
      <c r="D81" s="299">
        <v>145</v>
      </c>
      <c r="E81" s="299">
        <v>0</v>
      </c>
      <c r="F81" s="299">
        <v>100</v>
      </c>
      <c r="G81" s="299">
        <v>0</v>
      </c>
      <c r="H81" s="299">
        <v>100</v>
      </c>
      <c r="I81" s="299">
        <v>0</v>
      </c>
      <c r="J81" s="299">
        <v>100</v>
      </c>
      <c r="K81" s="299">
        <v>0</v>
      </c>
      <c r="L81" s="299">
        <v>100</v>
      </c>
      <c r="M81" s="299">
        <v>0</v>
      </c>
      <c r="N81" s="299">
        <v>70</v>
      </c>
      <c r="O81" s="299">
        <v>0</v>
      </c>
      <c r="P81" s="299">
        <v>100</v>
      </c>
      <c r="Q81" s="299">
        <v>0</v>
      </c>
      <c r="R81" s="299">
        <v>65</v>
      </c>
      <c r="S81" s="299">
        <v>0</v>
      </c>
      <c r="T81" s="299">
        <v>100</v>
      </c>
      <c r="U81" s="20"/>
      <c r="AJ81" s="108">
        <v>80</v>
      </c>
      <c r="AK81" s="177">
        <v>45264</v>
      </c>
      <c r="AL81" s="178" t="s">
        <v>504</v>
      </c>
      <c r="AM81" s="178" t="s">
        <v>375</v>
      </c>
      <c r="AN81" s="178" t="s">
        <v>107</v>
      </c>
      <c r="AO81" s="108" t="s">
        <v>189</v>
      </c>
      <c r="AP81" s="178" t="s">
        <v>505</v>
      </c>
    </row>
    <row r="82" spans="1:42" ht="30.75" thickBot="1">
      <c r="A82" s="293" t="s">
        <v>90</v>
      </c>
      <c r="B82" s="294">
        <v>1</v>
      </c>
      <c r="C82" s="300">
        <v>0</v>
      </c>
      <c r="D82" s="294" t="s">
        <v>856</v>
      </c>
      <c r="E82" s="300">
        <v>0</v>
      </c>
      <c r="F82" s="294">
        <v>330</v>
      </c>
      <c r="G82" s="300">
        <v>0</v>
      </c>
      <c r="H82" s="300" t="s">
        <v>856</v>
      </c>
      <c r="I82" s="300">
        <v>0</v>
      </c>
      <c r="J82" s="300" t="s">
        <v>856</v>
      </c>
      <c r="K82" s="300">
        <v>0</v>
      </c>
      <c r="L82" s="294">
        <v>730</v>
      </c>
      <c r="M82" s="300">
        <v>0</v>
      </c>
      <c r="N82" s="294">
        <v>100</v>
      </c>
      <c r="O82" s="300">
        <v>0</v>
      </c>
      <c r="P82" s="294" t="s">
        <v>856</v>
      </c>
      <c r="Q82" s="300">
        <v>0</v>
      </c>
      <c r="R82" s="294" t="s">
        <v>856</v>
      </c>
      <c r="S82" s="300">
        <v>0</v>
      </c>
      <c r="T82" s="294" t="s">
        <v>856</v>
      </c>
      <c r="U82" s="20"/>
      <c r="AJ82" s="108">
        <v>81</v>
      </c>
      <c r="AK82" s="177">
        <v>45264</v>
      </c>
      <c r="AL82" s="178" t="s">
        <v>506</v>
      </c>
      <c r="AM82" s="178" t="s">
        <v>482</v>
      </c>
      <c r="AN82" s="178" t="s">
        <v>102</v>
      </c>
      <c r="AO82" s="108" t="s">
        <v>189</v>
      </c>
      <c r="AP82" s="178" t="s">
        <v>507</v>
      </c>
    </row>
    <row r="83" spans="1:42" ht="45.75" thickBot="1">
      <c r="A83" s="297" t="s">
        <v>116</v>
      </c>
      <c r="B83" s="298">
        <v>1</v>
      </c>
      <c r="C83" s="299">
        <v>0</v>
      </c>
      <c r="D83" s="299">
        <v>55</v>
      </c>
      <c r="E83" s="299">
        <v>0</v>
      </c>
      <c r="F83" s="299">
        <v>50</v>
      </c>
      <c r="G83" s="299">
        <v>0</v>
      </c>
      <c r="H83" s="299">
        <v>55</v>
      </c>
      <c r="I83" s="299">
        <v>0</v>
      </c>
      <c r="J83" s="299">
        <v>87.5</v>
      </c>
      <c r="K83" s="299">
        <v>0</v>
      </c>
      <c r="L83" s="299">
        <v>42.5</v>
      </c>
      <c r="M83" s="299">
        <v>0</v>
      </c>
      <c r="N83" s="299">
        <v>70</v>
      </c>
      <c r="O83" s="299">
        <v>0</v>
      </c>
      <c r="P83" s="299">
        <v>105</v>
      </c>
      <c r="Q83" s="299">
        <v>0</v>
      </c>
      <c r="R83" s="299">
        <v>35</v>
      </c>
      <c r="S83" s="299">
        <v>0</v>
      </c>
      <c r="T83" s="299">
        <v>55</v>
      </c>
      <c r="U83" s="20"/>
      <c r="AJ83" s="108">
        <v>82</v>
      </c>
      <c r="AK83" s="177">
        <v>45265</v>
      </c>
      <c r="AL83" s="178" t="s">
        <v>508</v>
      </c>
      <c r="AM83" s="178" t="s">
        <v>509</v>
      </c>
      <c r="AN83" s="178" t="s">
        <v>109</v>
      </c>
      <c r="AO83" s="108" t="s">
        <v>189</v>
      </c>
      <c r="AP83" s="178" t="s">
        <v>510</v>
      </c>
    </row>
    <row r="84" spans="1:42" ht="30.75" thickBot="1">
      <c r="A84" s="301" t="s">
        <v>117</v>
      </c>
      <c r="B84" s="296">
        <v>1</v>
      </c>
      <c r="C84" s="295">
        <v>0</v>
      </c>
      <c r="D84" s="296">
        <v>10</v>
      </c>
      <c r="E84" s="295">
        <v>0</v>
      </c>
      <c r="F84" s="296" t="s">
        <v>856</v>
      </c>
      <c r="G84" s="295">
        <v>0</v>
      </c>
      <c r="H84" s="296">
        <v>35</v>
      </c>
      <c r="I84" s="295">
        <v>0</v>
      </c>
      <c r="J84" s="296">
        <v>15</v>
      </c>
      <c r="K84" s="295">
        <v>0</v>
      </c>
      <c r="L84" s="296" t="s">
        <v>856</v>
      </c>
      <c r="M84" s="295">
        <v>0</v>
      </c>
      <c r="N84" s="296">
        <v>10</v>
      </c>
      <c r="O84" s="295">
        <v>0</v>
      </c>
      <c r="P84" s="296">
        <v>5</v>
      </c>
      <c r="Q84" s="295">
        <v>0</v>
      </c>
      <c r="R84" s="296">
        <v>25</v>
      </c>
      <c r="S84" s="295">
        <v>0</v>
      </c>
      <c r="T84" s="296">
        <v>5</v>
      </c>
      <c r="U84" s="20"/>
      <c r="AJ84" s="108">
        <v>83</v>
      </c>
      <c r="AK84" s="180">
        <v>45271</v>
      </c>
      <c r="AL84" s="183" t="s">
        <v>511</v>
      </c>
      <c r="AM84" s="183" t="s">
        <v>482</v>
      </c>
      <c r="AN84" s="183" t="s">
        <v>108</v>
      </c>
      <c r="AO84" s="184" t="s">
        <v>189</v>
      </c>
      <c r="AP84" s="183" t="s">
        <v>512</v>
      </c>
    </row>
    <row r="85" spans="1:42" ht="45.75" thickBot="1">
      <c r="A85" s="297" t="s">
        <v>118</v>
      </c>
      <c r="B85" s="298">
        <v>1</v>
      </c>
      <c r="C85" s="299">
        <v>0</v>
      </c>
      <c r="D85" s="299">
        <v>742</v>
      </c>
      <c r="E85" s="299">
        <v>0</v>
      </c>
      <c r="F85" s="299">
        <v>138</v>
      </c>
      <c r="G85" s="299">
        <v>0</v>
      </c>
      <c r="H85" s="299">
        <v>20</v>
      </c>
      <c r="I85" s="299">
        <v>0</v>
      </c>
      <c r="J85" s="299">
        <v>25</v>
      </c>
      <c r="K85" s="299">
        <v>0</v>
      </c>
      <c r="L85" s="299" t="s">
        <v>856</v>
      </c>
      <c r="M85" s="299">
        <v>0</v>
      </c>
      <c r="N85" s="299" t="s">
        <v>856</v>
      </c>
      <c r="O85" s="299">
        <v>0</v>
      </c>
      <c r="P85" s="299"/>
      <c r="Q85" s="299">
        <v>0</v>
      </c>
      <c r="R85" s="299" t="s">
        <v>856</v>
      </c>
      <c r="S85" s="299">
        <v>0</v>
      </c>
      <c r="T85" s="299" t="s">
        <v>856</v>
      </c>
      <c r="U85" s="20"/>
      <c r="AJ85" s="108">
        <v>84</v>
      </c>
      <c r="AK85" s="177">
        <v>45271</v>
      </c>
      <c r="AL85" s="178" t="s">
        <v>513</v>
      </c>
      <c r="AM85" s="178" t="s">
        <v>509</v>
      </c>
      <c r="AN85" s="178" t="s">
        <v>109</v>
      </c>
      <c r="AO85" s="108" t="s">
        <v>189</v>
      </c>
      <c r="AP85" s="178" t="s">
        <v>514</v>
      </c>
    </row>
    <row r="86" spans="1:42" ht="15.75" thickBot="1">
      <c r="A86" s="302" t="s">
        <v>1</v>
      </c>
      <c r="B86" s="303"/>
      <c r="C86" s="304">
        <v>271</v>
      </c>
      <c r="D86" s="320">
        <v>1875.5</v>
      </c>
      <c r="E86" s="304">
        <v>551</v>
      </c>
      <c r="F86" s="320">
        <v>2537.5</v>
      </c>
      <c r="G86" s="304">
        <v>629</v>
      </c>
      <c r="H86" s="320">
        <v>2191</v>
      </c>
      <c r="I86" s="304">
        <v>630</v>
      </c>
      <c r="J86" s="320">
        <v>2231.5</v>
      </c>
      <c r="K86" s="304">
        <v>450</v>
      </c>
      <c r="L86" s="320">
        <v>2341</v>
      </c>
      <c r="M86" s="304">
        <v>498</v>
      </c>
      <c r="N86" s="320">
        <v>1801.5</v>
      </c>
      <c r="O86" s="304">
        <v>638</v>
      </c>
      <c r="P86" s="305">
        <v>2208.5</v>
      </c>
      <c r="Q86" s="304">
        <v>631</v>
      </c>
      <c r="R86" s="320">
        <v>2187.5</v>
      </c>
      <c r="S86" s="304">
        <v>623</v>
      </c>
      <c r="T86" s="320">
        <v>2322.5</v>
      </c>
      <c r="U86" s="20"/>
      <c r="AJ86" s="108">
        <v>85</v>
      </c>
      <c r="AK86" s="180">
        <v>45272</v>
      </c>
      <c r="AL86" s="183" t="s">
        <v>515</v>
      </c>
      <c r="AM86" s="183" t="s">
        <v>482</v>
      </c>
      <c r="AN86" s="183" t="s">
        <v>108</v>
      </c>
      <c r="AO86" s="184" t="s">
        <v>189</v>
      </c>
      <c r="AP86" s="181" t="s">
        <v>516</v>
      </c>
    </row>
    <row r="87" spans="1:42" ht="15" customHeight="1">
      <c r="A87" s="427" t="s">
        <v>119</v>
      </c>
      <c r="B87" s="428"/>
      <c r="C87" s="417" t="s">
        <v>120</v>
      </c>
      <c r="D87" s="418"/>
      <c r="E87" s="417" t="s">
        <v>120</v>
      </c>
      <c r="F87" s="418"/>
      <c r="G87" s="417" t="s">
        <v>120</v>
      </c>
      <c r="H87" s="418"/>
      <c r="I87" s="417" t="s">
        <v>120</v>
      </c>
      <c r="J87" s="418"/>
      <c r="K87" s="417" t="s">
        <v>120</v>
      </c>
      <c r="L87" s="418"/>
      <c r="M87" s="417" t="s">
        <v>120</v>
      </c>
      <c r="N87" s="418"/>
      <c r="O87" s="417" t="s">
        <v>120</v>
      </c>
      <c r="P87" s="418"/>
      <c r="Q87" s="417" t="s">
        <v>120</v>
      </c>
      <c r="R87" s="418"/>
      <c r="S87" s="417" t="s">
        <v>120</v>
      </c>
      <c r="T87" s="418"/>
      <c r="U87" s="20"/>
      <c r="AJ87" s="108">
        <v>86</v>
      </c>
      <c r="AK87" s="177">
        <v>45275</v>
      </c>
      <c r="AL87" s="178" t="s">
        <v>517</v>
      </c>
      <c r="AM87" s="178" t="s">
        <v>509</v>
      </c>
      <c r="AN87" s="178" t="s">
        <v>181</v>
      </c>
      <c r="AO87" s="108" t="s">
        <v>189</v>
      </c>
      <c r="AP87" s="178" t="s">
        <v>518</v>
      </c>
    </row>
    <row r="88" spans="1:42">
      <c r="A88" s="429"/>
      <c r="B88" s="430"/>
      <c r="C88" s="419"/>
      <c r="D88" s="420"/>
      <c r="E88" s="419"/>
      <c r="F88" s="420"/>
      <c r="G88" s="419"/>
      <c r="H88" s="420"/>
      <c r="I88" s="419"/>
      <c r="J88" s="420"/>
      <c r="K88" s="419"/>
      <c r="L88" s="420"/>
      <c r="M88" s="419"/>
      <c r="N88" s="420"/>
      <c r="O88" s="419"/>
      <c r="P88" s="420"/>
      <c r="Q88" s="419"/>
      <c r="R88" s="420"/>
      <c r="S88" s="419"/>
      <c r="T88" s="420"/>
      <c r="U88" s="20"/>
      <c r="AJ88" s="108">
        <v>87</v>
      </c>
      <c r="AK88" s="177">
        <v>45280</v>
      </c>
      <c r="AL88" s="178" t="s">
        <v>519</v>
      </c>
      <c r="AM88" s="178" t="s">
        <v>509</v>
      </c>
      <c r="AN88" s="178" t="s">
        <v>109</v>
      </c>
      <c r="AO88" s="108" t="s">
        <v>189</v>
      </c>
      <c r="AP88" s="178" t="s">
        <v>520</v>
      </c>
    </row>
    <row r="89" spans="1:42" ht="60.75" thickBot="1">
      <c r="A89" s="421">
        <v>1.0181</v>
      </c>
      <c r="B89" s="422"/>
      <c r="C89" s="421">
        <v>1.0419</v>
      </c>
      <c r="D89" s="422"/>
      <c r="E89" s="421">
        <v>1.1277999999999999</v>
      </c>
      <c r="F89" s="422"/>
      <c r="G89" s="431">
        <v>0.9738</v>
      </c>
      <c r="H89" s="432"/>
      <c r="I89" s="431">
        <v>0.99180000000000001</v>
      </c>
      <c r="J89" s="432"/>
      <c r="K89" s="421">
        <v>1.0404</v>
      </c>
      <c r="L89" s="422"/>
      <c r="M89" s="421">
        <v>1.0007999999999999</v>
      </c>
      <c r="N89" s="422"/>
      <c r="O89" s="431">
        <v>0.98160000000000003</v>
      </c>
      <c r="P89" s="432"/>
      <c r="Q89" s="431">
        <v>0.97219999999999995</v>
      </c>
      <c r="R89" s="432"/>
      <c r="S89" s="421">
        <v>1.0322</v>
      </c>
      <c r="T89" s="423"/>
      <c r="U89" s="20"/>
      <c r="AJ89" s="108">
        <v>88</v>
      </c>
      <c r="AK89" s="177">
        <v>45294</v>
      </c>
      <c r="AL89" s="178" t="s">
        <v>588</v>
      </c>
      <c r="AM89" s="178" t="s">
        <v>95</v>
      </c>
      <c r="AN89" s="178" t="s">
        <v>181</v>
      </c>
      <c r="AO89" s="108" t="s">
        <v>189</v>
      </c>
      <c r="AP89" s="178" t="s">
        <v>589</v>
      </c>
    </row>
    <row r="90" spans="1:42" ht="45.75" thickBot="1">
      <c r="A90" s="306"/>
      <c r="B90" s="307"/>
      <c r="C90" s="307"/>
      <c r="D90" s="307"/>
      <c r="E90" s="307"/>
      <c r="F90" s="307"/>
      <c r="G90" s="307"/>
      <c r="H90" s="307"/>
      <c r="I90" s="307"/>
      <c r="J90" s="307"/>
      <c r="K90" s="307"/>
      <c r="L90" s="307"/>
      <c r="M90" s="307"/>
      <c r="N90" s="307"/>
      <c r="O90" s="307"/>
      <c r="P90" s="307"/>
      <c r="Q90" s="307"/>
      <c r="R90" s="307"/>
      <c r="S90" s="307"/>
      <c r="T90" s="307"/>
      <c r="U90" s="20"/>
      <c r="AJ90" s="108">
        <v>89</v>
      </c>
      <c r="AK90" s="177">
        <v>45301</v>
      </c>
      <c r="AL90" s="178" t="s">
        <v>590</v>
      </c>
      <c r="AM90" s="178" t="s">
        <v>95</v>
      </c>
      <c r="AN90" s="178" t="s">
        <v>181</v>
      </c>
      <c r="AO90" s="108" t="s">
        <v>189</v>
      </c>
      <c r="AP90" s="178" t="s">
        <v>591</v>
      </c>
    </row>
    <row r="91" spans="1:42" ht="15.75" thickBot="1">
      <c r="A91" s="308" t="s">
        <v>121</v>
      </c>
      <c r="B91" s="309"/>
      <c r="C91" s="309"/>
      <c r="D91" s="298">
        <v>2250</v>
      </c>
      <c r="E91" s="309"/>
      <c r="F91" s="298">
        <v>2250</v>
      </c>
      <c r="G91" s="309"/>
      <c r="H91" s="298">
        <v>2250</v>
      </c>
      <c r="I91" s="309"/>
      <c r="J91" s="298">
        <v>2250</v>
      </c>
      <c r="K91" s="309"/>
      <c r="L91" s="298">
        <v>2250</v>
      </c>
      <c r="M91" s="309"/>
      <c r="N91" s="298">
        <v>2250</v>
      </c>
      <c r="O91" s="309"/>
      <c r="P91" s="298">
        <v>2250</v>
      </c>
      <c r="Q91" s="309"/>
      <c r="R91" s="298">
        <v>2250</v>
      </c>
      <c r="S91" s="309"/>
      <c r="T91" s="298">
        <v>2250</v>
      </c>
      <c r="U91" s="20"/>
      <c r="AJ91" s="108">
        <v>90</v>
      </c>
      <c r="AK91" s="180">
        <v>45307</v>
      </c>
      <c r="AL91" s="183" t="s">
        <v>592</v>
      </c>
      <c r="AM91" s="183" t="s">
        <v>95</v>
      </c>
      <c r="AN91" s="181" t="s">
        <v>109</v>
      </c>
      <c r="AO91" s="184" t="s">
        <v>189</v>
      </c>
      <c r="AP91" s="181" t="s">
        <v>585</v>
      </c>
    </row>
    <row r="92" spans="1:42" ht="15.75" thickBot="1">
      <c r="A92" s="311" t="s">
        <v>122</v>
      </c>
      <c r="B92" s="312"/>
      <c r="C92" s="312"/>
      <c r="D92" s="313"/>
      <c r="E92" s="312"/>
      <c r="F92" s="313">
        <v>0</v>
      </c>
      <c r="G92" s="312"/>
      <c r="H92" s="313">
        <v>0</v>
      </c>
      <c r="I92" s="312"/>
      <c r="J92" s="313">
        <v>0</v>
      </c>
      <c r="K92" s="312"/>
      <c r="L92" s="313">
        <v>0</v>
      </c>
      <c r="M92" s="312"/>
      <c r="N92" s="313">
        <v>0</v>
      </c>
      <c r="O92" s="312"/>
      <c r="P92" s="313">
        <v>0</v>
      </c>
      <c r="Q92" s="312"/>
      <c r="R92" s="313">
        <v>0</v>
      </c>
      <c r="S92" s="312"/>
      <c r="T92" s="313">
        <v>0</v>
      </c>
      <c r="U92" s="20"/>
      <c r="AJ92" s="108">
        <v>91</v>
      </c>
      <c r="AK92" s="180">
        <v>45307</v>
      </c>
      <c r="AL92" s="183" t="s">
        <v>636</v>
      </c>
      <c r="AM92" s="183" t="s">
        <v>95</v>
      </c>
      <c r="AN92" s="181" t="s">
        <v>109</v>
      </c>
      <c r="AO92" s="184" t="s">
        <v>189</v>
      </c>
      <c r="AP92" s="181" t="s">
        <v>686</v>
      </c>
    </row>
    <row r="93" spans="1:42" ht="30.75" thickBot="1">
      <c r="A93" s="311" t="s">
        <v>123</v>
      </c>
      <c r="B93" s="312"/>
      <c r="C93" s="312"/>
      <c r="D93" s="314">
        <v>450</v>
      </c>
      <c r="E93" s="312"/>
      <c r="F93" s="315">
        <v>0</v>
      </c>
      <c r="G93" s="312"/>
      <c r="H93" s="315">
        <v>0</v>
      </c>
      <c r="I93" s="312"/>
      <c r="J93" s="315">
        <v>0</v>
      </c>
      <c r="K93" s="312"/>
      <c r="L93" s="315">
        <v>0</v>
      </c>
      <c r="M93" s="312"/>
      <c r="N93" s="315">
        <v>450</v>
      </c>
      <c r="O93" s="312"/>
      <c r="P93" s="315">
        <v>0</v>
      </c>
      <c r="Q93" s="312"/>
      <c r="R93" s="315">
        <v>0</v>
      </c>
      <c r="S93" s="312"/>
      <c r="T93" s="315">
        <v>0</v>
      </c>
      <c r="U93" s="20"/>
      <c r="AJ93" s="108">
        <v>92</v>
      </c>
      <c r="AK93" s="177">
        <v>45308</v>
      </c>
      <c r="AL93" s="178" t="s">
        <v>637</v>
      </c>
      <c r="AM93" s="178" t="s">
        <v>95</v>
      </c>
      <c r="AN93" s="179" t="s">
        <v>109</v>
      </c>
      <c r="AO93" s="108" t="s">
        <v>638</v>
      </c>
      <c r="AP93" s="178" t="s">
        <v>687</v>
      </c>
    </row>
    <row r="94" spans="1:42" ht="15.75" thickBot="1">
      <c r="A94" s="308" t="s">
        <v>124</v>
      </c>
      <c r="B94" s="309"/>
      <c r="C94" s="309"/>
      <c r="D94" s="299">
        <v>1800</v>
      </c>
      <c r="E94" s="309"/>
      <c r="F94" s="299">
        <v>2250</v>
      </c>
      <c r="G94" s="309"/>
      <c r="H94" s="299">
        <v>2250</v>
      </c>
      <c r="I94" s="309"/>
      <c r="J94" s="299">
        <v>2250</v>
      </c>
      <c r="K94" s="309"/>
      <c r="L94" s="299">
        <v>2250</v>
      </c>
      <c r="M94" s="309"/>
      <c r="N94" s="299">
        <v>1800</v>
      </c>
      <c r="O94" s="309"/>
      <c r="P94" s="299">
        <v>2250</v>
      </c>
      <c r="Q94" s="309"/>
      <c r="R94" s="299">
        <v>2250</v>
      </c>
      <c r="S94" s="309"/>
      <c r="T94" s="299">
        <v>2250</v>
      </c>
      <c r="U94" s="20"/>
      <c r="AJ94" s="108">
        <v>93</v>
      </c>
      <c r="AK94" s="180">
        <v>45322</v>
      </c>
      <c r="AL94" s="183" t="s">
        <v>639</v>
      </c>
      <c r="AM94" s="183" t="s">
        <v>95</v>
      </c>
      <c r="AN94" s="183" t="s">
        <v>108</v>
      </c>
      <c r="AO94" s="184" t="s">
        <v>189</v>
      </c>
      <c r="AP94" s="181" t="s">
        <v>688</v>
      </c>
    </row>
    <row r="95" spans="1:42" ht="30">
      <c r="A95" s="158"/>
      <c r="B95" s="158"/>
      <c r="C95" s="158"/>
      <c r="D95" s="158"/>
      <c r="E95" s="158"/>
      <c r="F95" s="158"/>
      <c r="G95" s="158"/>
      <c r="H95" s="158"/>
      <c r="I95" s="158"/>
      <c r="J95" s="158"/>
      <c r="K95" s="158"/>
      <c r="L95" s="158"/>
      <c r="M95" s="158"/>
      <c r="N95" s="158"/>
      <c r="O95" s="158"/>
      <c r="P95" s="158"/>
      <c r="Q95" s="158"/>
      <c r="R95" s="158"/>
      <c r="S95" s="158"/>
      <c r="T95" s="158"/>
      <c r="AJ95" s="108">
        <v>94</v>
      </c>
      <c r="AK95" s="177">
        <v>45335</v>
      </c>
      <c r="AL95" s="178" t="s">
        <v>640</v>
      </c>
      <c r="AM95" s="178" t="s">
        <v>96</v>
      </c>
      <c r="AN95" s="178" t="s">
        <v>603</v>
      </c>
      <c r="AO95" s="108" t="s">
        <v>189</v>
      </c>
      <c r="AP95" s="178" t="s">
        <v>689</v>
      </c>
    </row>
    <row r="96" spans="1:42" ht="23.25">
      <c r="A96" s="274"/>
      <c r="B96" s="275"/>
      <c r="C96" s="412"/>
      <c r="D96" s="412"/>
      <c r="E96" s="412"/>
      <c r="F96" s="412"/>
      <c r="G96" s="412"/>
      <c r="H96" s="412"/>
      <c r="I96" s="412"/>
      <c r="J96" s="412"/>
      <c r="K96" s="412"/>
      <c r="L96" s="412"/>
      <c r="M96" s="412"/>
      <c r="N96" s="412"/>
      <c r="O96" s="412"/>
      <c r="P96" s="412"/>
      <c r="Q96" s="412"/>
      <c r="R96" s="412"/>
      <c r="S96" s="412"/>
      <c r="T96" s="412"/>
      <c r="U96" s="20"/>
      <c r="AJ96" s="184">
        <v>95</v>
      </c>
      <c r="AK96" s="180">
        <v>45338</v>
      </c>
      <c r="AL96" s="186" t="s">
        <v>641</v>
      </c>
      <c r="AM96" s="183" t="s">
        <v>96</v>
      </c>
      <c r="AN96" s="183" t="s">
        <v>603</v>
      </c>
      <c r="AO96" s="184" t="s">
        <v>189</v>
      </c>
      <c r="AP96" s="181" t="s">
        <v>690</v>
      </c>
    </row>
    <row r="97" spans="1:42" ht="45">
      <c r="A97" s="276"/>
      <c r="B97" s="276"/>
      <c r="C97" s="273"/>
      <c r="D97" s="273"/>
      <c r="E97" s="273"/>
      <c r="F97" s="273"/>
      <c r="G97" s="273"/>
      <c r="H97" s="273"/>
      <c r="I97" s="273"/>
      <c r="J97" s="273"/>
      <c r="K97" s="273"/>
      <c r="L97" s="273"/>
      <c r="M97" s="273"/>
      <c r="N97" s="273"/>
      <c r="O97" s="273"/>
      <c r="P97" s="273"/>
      <c r="Q97" s="273"/>
      <c r="R97" s="273"/>
      <c r="S97" s="273"/>
      <c r="T97" s="273"/>
      <c r="U97" s="20"/>
      <c r="AJ97" s="108">
        <v>96</v>
      </c>
      <c r="AK97" s="177">
        <v>45342</v>
      </c>
      <c r="AL97" s="178" t="s">
        <v>642</v>
      </c>
      <c r="AM97" s="178" t="s">
        <v>96</v>
      </c>
      <c r="AN97" s="179" t="s">
        <v>109</v>
      </c>
      <c r="AO97" s="108" t="s">
        <v>189</v>
      </c>
      <c r="AP97" s="178" t="s">
        <v>689</v>
      </c>
    </row>
    <row r="98" spans="1:42">
      <c r="A98" s="277"/>
      <c r="B98" s="278"/>
      <c r="C98" s="279"/>
      <c r="D98" s="278"/>
      <c r="E98" s="279"/>
      <c r="F98" s="278"/>
      <c r="G98" s="279"/>
      <c r="H98" s="278"/>
      <c r="I98" s="279"/>
      <c r="J98" s="278"/>
      <c r="K98" s="279"/>
      <c r="L98" s="278"/>
      <c r="M98" s="279"/>
      <c r="N98" s="278"/>
      <c r="O98" s="279"/>
      <c r="P98" s="278"/>
      <c r="Q98" s="279"/>
      <c r="R98" s="278"/>
      <c r="S98" s="279"/>
      <c r="T98" s="278"/>
      <c r="U98" s="20"/>
      <c r="AJ98" s="184">
        <v>97</v>
      </c>
      <c r="AK98" s="180">
        <v>45342</v>
      </c>
      <c r="AL98" s="183" t="s">
        <v>643</v>
      </c>
      <c r="AM98" s="183" t="s">
        <v>96</v>
      </c>
      <c r="AN98" s="183" t="s">
        <v>644</v>
      </c>
      <c r="AO98" s="184" t="s">
        <v>189</v>
      </c>
      <c r="AP98" s="186" t="s">
        <v>585</v>
      </c>
    </row>
    <row r="99" spans="1:42">
      <c r="A99" s="277"/>
      <c r="B99" s="278"/>
      <c r="C99" s="279"/>
      <c r="D99" s="278"/>
      <c r="E99" s="279"/>
      <c r="F99" s="278"/>
      <c r="G99" s="279"/>
      <c r="H99" s="278"/>
      <c r="I99" s="279"/>
      <c r="J99" s="278"/>
      <c r="K99" s="279"/>
      <c r="L99" s="278"/>
      <c r="M99" s="279"/>
      <c r="N99" s="278"/>
      <c r="O99" s="279"/>
      <c r="P99" s="278"/>
      <c r="Q99" s="279"/>
      <c r="R99" s="278"/>
      <c r="S99" s="279"/>
      <c r="T99" s="278"/>
      <c r="U99" s="20"/>
      <c r="AJ99" s="184">
        <v>98</v>
      </c>
      <c r="AK99" s="180">
        <v>45342</v>
      </c>
      <c r="AL99" s="183" t="s">
        <v>645</v>
      </c>
      <c r="AM99" s="183" t="s">
        <v>96</v>
      </c>
      <c r="AN99" s="183" t="s">
        <v>644</v>
      </c>
      <c r="AO99" s="184" t="s">
        <v>189</v>
      </c>
      <c r="AP99" s="186" t="s">
        <v>691</v>
      </c>
    </row>
    <row r="100" spans="1:42">
      <c r="A100" s="277"/>
      <c r="B100" s="278"/>
      <c r="C100" s="279"/>
      <c r="D100" s="278"/>
      <c r="E100" s="279"/>
      <c r="F100" s="278"/>
      <c r="G100" s="279"/>
      <c r="H100" s="278"/>
      <c r="I100" s="279"/>
      <c r="J100" s="278"/>
      <c r="K100" s="279"/>
      <c r="L100" s="278"/>
      <c r="M100" s="279"/>
      <c r="N100" s="278"/>
      <c r="O100" s="279"/>
      <c r="P100" s="278"/>
      <c r="Q100" s="279"/>
      <c r="R100" s="278"/>
      <c r="S100" s="279"/>
      <c r="T100" s="278"/>
      <c r="U100" s="20"/>
      <c r="AJ100" s="184">
        <v>99</v>
      </c>
      <c r="AK100" s="180">
        <v>45343</v>
      </c>
      <c r="AL100" s="183" t="s">
        <v>646</v>
      </c>
      <c r="AM100" s="183" t="s">
        <v>96</v>
      </c>
      <c r="AN100" s="183" t="s">
        <v>603</v>
      </c>
      <c r="AO100" s="184" t="s">
        <v>189</v>
      </c>
      <c r="AP100" s="181" t="s">
        <v>692</v>
      </c>
    </row>
    <row r="101" spans="1:42" ht="30">
      <c r="A101" s="277"/>
      <c r="B101" s="278"/>
      <c r="C101" s="279"/>
      <c r="D101" s="279"/>
      <c r="E101" s="279"/>
      <c r="F101" s="279"/>
      <c r="G101" s="279"/>
      <c r="H101" s="279"/>
      <c r="I101" s="279"/>
      <c r="J101" s="279"/>
      <c r="K101" s="279"/>
      <c r="L101" s="279"/>
      <c r="M101" s="279"/>
      <c r="N101" s="279"/>
      <c r="O101" s="279"/>
      <c r="P101" s="279"/>
      <c r="Q101" s="279"/>
      <c r="R101" s="279"/>
      <c r="S101" s="279"/>
      <c r="T101" s="279"/>
      <c r="U101" s="20"/>
      <c r="AJ101" s="108">
        <v>100</v>
      </c>
      <c r="AK101" s="177">
        <v>45348</v>
      </c>
      <c r="AL101" s="178" t="s">
        <v>647</v>
      </c>
      <c r="AM101" s="178" t="s">
        <v>96</v>
      </c>
      <c r="AN101" s="178" t="s">
        <v>603</v>
      </c>
      <c r="AO101" s="108" t="s">
        <v>189</v>
      </c>
      <c r="AP101" s="178" t="s">
        <v>693</v>
      </c>
    </row>
    <row r="102" spans="1:42">
      <c r="A102" s="277"/>
      <c r="B102" s="278"/>
      <c r="C102" s="279"/>
      <c r="D102" s="278"/>
      <c r="E102" s="279"/>
      <c r="F102" s="278"/>
      <c r="G102" s="279"/>
      <c r="H102" s="279"/>
      <c r="I102" s="279"/>
      <c r="J102" s="279"/>
      <c r="K102" s="279"/>
      <c r="L102" s="278"/>
      <c r="M102" s="279"/>
      <c r="N102" s="278"/>
      <c r="O102" s="279"/>
      <c r="P102" s="278"/>
      <c r="Q102" s="279"/>
      <c r="R102" s="278"/>
      <c r="S102" s="279"/>
      <c r="T102" s="278"/>
      <c r="U102" s="20"/>
      <c r="AJ102" s="184">
        <v>101</v>
      </c>
      <c r="AK102" s="180">
        <v>45350</v>
      </c>
      <c r="AL102" s="181" t="s">
        <v>648</v>
      </c>
      <c r="AM102" s="183" t="s">
        <v>96</v>
      </c>
      <c r="AN102" s="183" t="s">
        <v>603</v>
      </c>
      <c r="AO102" s="184" t="s">
        <v>189</v>
      </c>
      <c r="AP102" s="181" t="s">
        <v>694</v>
      </c>
    </row>
    <row r="103" spans="1:42">
      <c r="A103" s="277"/>
      <c r="B103" s="278"/>
      <c r="C103" s="279"/>
      <c r="D103" s="279"/>
      <c r="E103" s="279"/>
      <c r="F103" s="279"/>
      <c r="G103" s="279"/>
      <c r="H103" s="279"/>
      <c r="I103" s="279"/>
      <c r="J103" s="279"/>
      <c r="K103" s="279"/>
      <c r="L103" s="279"/>
      <c r="M103" s="279"/>
      <c r="N103" s="279"/>
      <c r="O103" s="279"/>
      <c r="P103" s="279"/>
      <c r="Q103" s="279"/>
      <c r="R103" s="279"/>
      <c r="S103" s="279"/>
      <c r="T103" s="279"/>
      <c r="U103" s="20"/>
      <c r="AJ103" s="184">
        <v>102</v>
      </c>
      <c r="AK103" s="180">
        <v>45350</v>
      </c>
      <c r="AL103" s="181" t="s">
        <v>604</v>
      </c>
      <c r="AM103" s="183" t="s">
        <v>96</v>
      </c>
      <c r="AN103" s="183" t="s">
        <v>603</v>
      </c>
      <c r="AO103" s="184" t="s">
        <v>189</v>
      </c>
      <c r="AP103" s="181" t="s">
        <v>587</v>
      </c>
    </row>
    <row r="104" spans="1:42">
      <c r="A104" s="277"/>
      <c r="B104" s="278"/>
      <c r="C104" s="279"/>
      <c r="D104" s="278"/>
      <c r="E104" s="279"/>
      <c r="F104" s="278"/>
      <c r="G104" s="279"/>
      <c r="H104" s="278"/>
      <c r="I104" s="279"/>
      <c r="J104" s="278"/>
      <c r="K104" s="279"/>
      <c r="L104" s="278"/>
      <c r="M104" s="279"/>
      <c r="N104" s="278"/>
      <c r="O104" s="279"/>
      <c r="P104" s="278"/>
      <c r="Q104" s="279"/>
      <c r="R104" s="278"/>
      <c r="S104" s="279"/>
      <c r="T104" s="278"/>
      <c r="U104" s="20"/>
      <c r="AJ104" s="184">
        <v>103</v>
      </c>
      <c r="AK104" s="180">
        <v>45355</v>
      </c>
      <c r="AL104" s="183" t="s">
        <v>649</v>
      </c>
      <c r="AM104" s="183" t="s">
        <v>94</v>
      </c>
      <c r="AN104" s="183" t="s">
        <v>644</v>
      </c>
      <c r="AO104" s="184" t="s">
        <v>189</v>
      </c>
      <c r="AP104" s="181" t="s">
        <v>587</v>
      </c>
    </row>
    <row r="105" spans="1:42" ht="30">
      <c r="A105" s="277"/>
      <c r="B105" s="278"/>
      <c r="C105" s="279"/>
      <c r="D105" s="279"/>
      <c r="E105" s="279"/>
      <c r="F105" s="279"/>
      <c r="G105" s="279"/>
      <c r="H105" s="279"/>
      <c r="I105" s="279"/>
      <c r="J105" s="279"/>
      <c r="K105" s="279"/>
      <c r="L105" s="279"/>
      <c r="M105" s="279"/>
      <c r="N105" s="279"/>
      <c r="O105" s="279"/>
      <c r="P105" s="279"/>
      <c r="Q105" s="279"/>
      <c r="R105" s="279"/>
      <c r="S105" s="279"/>
      <c r="T105" s="279"/>
      <c r="U105" s="20"/>
      <c r="AJ105" s="187">
        <v>104</v>
      </c>
      <c r="AK105" s="177">
        <v>45357</v>
      </c>
      <c r="AL105" s="178" t="s">
        <v>650</v>
      </c>
      <c r="AM105" s="178" t="s">
        <v>94</v>
      </c>
      <c r="AN105" s="178" t="s">
        <v>644</v>
      </c>
      <c r="AO105" s="108" t="s">
        <v>189</v>
      </c>
      <c r="AP105" s="178" t="s">
        <v>695</v>
      </c>
    </row>
    <row r="106" spans="1:42" ht="45">
      <c r="A106" s="277"/>
      <c r="B106" s="277"/>
      <c r="C106" s="279"/>
      <c r="D106" s="280"/>
      <c r="E106" s="279"/>
      <c r="F106" s="280"/>
      <c r="G106" s="279"/>
      <c r="H106" s="280"/>
      <c r="I106" s="279"/>
      <c r="J106" s="280"/>
      <c r="K106" s="279"/>
      <c r="L106" s="280"/>
      <c r="M106" s="279"/>
      <c r="N106" s="280"/>
      <c r="O106" s="279"/>
      <c r="P106" s="280"/>
      <c r="Q106" s="279"/>
      <c r="R106" s="280"/>
      <c r="S106" s="279"/>
      <c r="T106" s="280"/>
      <c r="U106" s="20"/>
      <c r="AJ106" s="187">
        <v>105</v>
      </c>
      <c r="AK106" s="177">
        <v>45357</v>
      </c>
      <c r="AL106" s="178" t="s">
        <v>651</v>
      </c>
      <c r="AM106" s="178" t="s">
        <v>96</v>
      </c>
      <c r="AN106" s="178" t="s">
        <v>102</v>
      </c>
      <c r="AO106" s="108" t="s">
        <v>189</v>
      </c>
      <c r="AP106" s="178" t="s">
        <v>696</v>
      </c>
    </row>
    <row r="107" spans="1:42" ht="30">
      <c r="A107" s="411"/>
      <c r="B107" s="411"/>
      <c r="C107" s="410"/>
      <c r="D107" s="410"/>
      <c r="E107" s="410"/>
      <c r="F107" s="410"/>
      <c r="G107" s="410"/>
      <c r="H107" s="410"/>
      <c r="I107" s="410"/>
      <c r="J107" s="410"/>
      <c r="K107" s="410"/>
      <c r="L107" s="410"/>
      <c r="M107" s="410"/>
      <c r="N107" s="410"/>
      <c r="O107" s="410"/>
      <c r="P107" s="410"/>
      <c r="Q107" s="410"/>
      <c r="R107" s="410"/>
      <c r="S107" s="410"/>
      <c r="T107" s="410"/>
      <c r="U107" s="20"/>
      <c r="AJ107" s="184">
        <v>106</v>
      </c>
      <c r="AK107" s="180">
        <v>45358</v>
      </c>
      <c r="AL107" s="183" t="s">
        <v>652</v>
      </c>
      <c r="AM107" s="183" t="s">
        <v>94</v>
      </c>
      <c r="AN107" s="183" t="s">
        <v>644</v>
      </c>
      <c r="AO107" s="184" t="s">
        <v>189</v>
      </c>
      <c r="AP107" s="181" t="s">
        <v>697</v>
      </c>
    </row>
    <row r="108" spans="1:42">
      <c r="A108" s="411"/>
      <c r="B108" s="411"/>
      <c r="C108" s="410"/>
      <c r="D108" s="410"/>
      <c r="E108" s="410"/>
      <c r="F108" s="410"/>
      <c r="G108" s="410"/>
      <c r="H108" s="410"/>
      <c r="I108" s="410"/>
      <c r="J108" s="410"/>
      <c r="K108" s="410"/>
      <c r="L108" s="410"/>
      <c r="M108" s="410"/>
      <c r="N108" s="410"/>
      <c r="O108" s="410"/>
      <c r="P108" s="410"/>
      <c r="Q108" s="410"/>
      <c r="R108" s="410"/>
      <c r="S108" s="410"/>
      <c r="T108" s="410"/>
      <c r="U108" s="20"/>
      <c r="AJ108" s="184">
        <v>107</v>
      </c>
      <c r="AK108" s="180">
        <v>45359</v>
      </c>
      <c r="AL108" s="181" t="s">
        <v>653</v>
      </c>
      <c r="AM108" s="183" t="s">
        <v>94</v>
      </c>
      <c r="AN108" s="181" t="s">
        <v>603</v>
      </c>
      <c r="AO108" s="184" t="s">
        <v>189</v>
      </c>
      <c r="AP108" s="181" t="s">
        <v>698</v>
      </c>
    </row>
    <row r="109" spans="1:42">
      <c r="A109" s="409"/>
      <c r="B109" s="409"/>
      <c r="C109" s="409"/>
      <c r="D109" s="409"/>
      <c r="E109" s="409"/>
      <c r="F109" s="409"/>
      <c r="G109" s="409"/>
      <c r="H109" s="409"/>
      <c r="I109" s="409"/>
      <c r="J109" s="409"/>
      <c r="K109" s="409"/>
      <c r="L109" s="409"/>
      <c r="M109" s="409"/>
      <c r="N109" s="409"/>
      <c r="O109" s="409"/>
      <c r="P109" s="409"/>
      <c r="Q109" s="409"/>
      <c r="R109" s="409"/>
      <c r="S109" s="409"/>
      <c r="T109" s="409"/>
      <c r="U109" s="20"/>
      <c r="AJ109" s="184">
        <v>108</v>
      </c>
      <c r="AK109" s="180">
        <v>45363</v>
      </c>
      <c r="AL109" s="181" t="s">
        <v>654</v>
      </c>
      <c r="AM109" s="183" t="s">
        <v>94</v>
      </c>
      <c r="AN109" s="181" t="s">
        <v>603</v>
      </c>
      <c r="AO109" s="184" t="s">
        <v>189</v>
      </c>
      <c r="AP109" s="181" t="s">
        <v>698</v>
      </c>
    </row>
    <row r="110" spans="1:42">
      <c r="A110" s="281"/>
      <c r="B110" s="281"/>
      <c r="C110" s="281"/>
      <c r="D110" s="281"/>
      <c r="E110" s="281"/>
      <c r="F110" s="281"/>
      <c r="G110" s="281"/>
      <c r="H110" s="281"/>
      <c r="I110" s="281"/>
      <c r="J110" s="281"/>
      <c r="K110" s="281"/>
      <c r="L110" s="281"/>
      <c r="M110" s="281"/>
      <c r="N110" s="281"/>
      <c r="O110" s="281"/>
      <c r="P110" s="281"/>
      <c r="Q110" s="281"/>
      <c r="R110" s="281"/>
      <c r="S110" s="281"/>
      <c r="T110" s="281"/>
      <c r="U110" s="20"/>
      <c r="AJ110" s="187">
        <v>109</v>
      </c>
      <c r="AK110" s="177">
        <v>45363</v>
      </c>
      <c r="AL110" s="179" t="s">
        <v>655</v>
      </c>
      <c r="AM110" s="178" t="s">
        <v>366</v>
      </c>
      <c r="AN110" s="178" t="s">
        <v>107</v>
      </c>
      <c r="AO110" s="108" t="s">
        <v>189</v>
      </c>
      <c r="AP110" s="179" t="s">
        <v>699</v>
      </c>
    </row>
    <row r="111" spans="1:42">
      <c r="A111" s="281"/>
      <c r="B111" s="281"/>
      <c r="C111" s="281"/>
      <c r="D111" s="278"/>
      <c r="E111" s="281"/>
      <c r="F111" s="278"/>
      <c r="G111" s="281"/>
      <c r="H111" s="278"/>
      <c r="I111" s="281"/>
      <c r="J111" s="278"/>
      <c r="K111" s="281"/>
      <c r="L111" s="278"/>
      <c r="M111" s="281"/>
      <c r="N111" s="278"/>
      <c r="O111" s="281"/>
      <c r="P111" s="278"/>
      <c r="Q111" s="281"/>
      <c r="R111" s="278"/>
      <c r="S111" s="281"/>
      <c r="T111" s="278"/>
      <c r="U111" s="20"/>
      <c r="AJ111" s="187">
        <v>110</v>
      </c>
      <c r="AK111" s="177">
        <v>45363</v>
      </c>
      <c r="AL111" s="179" t="s">
        <v>656</v>
      </c>
      <c r="AM111" s="178" t="s">
        <v>366</v>
      </c>
      <c r="AN111" s="179" t="s">
        <v>102</v>
      </c>
      <c r="AO111" s="108" t="s">
        <v>189</v>
      </c>
      <c r="AP111" s="179" t="s">
        <v>700</v>
      </c>
    </row>
    <row r="112" spans="1:42">
      <c r="A112" s="281"/>
      <c r="B112" s="281"/>
      <c r="C112" s="281"/>
      <c r="D112" s="282"/>
      <c r="E112" s="281"/>
      <c r="F112" s="282"/>
      <c r="G112" s="281"/>
      <c r="H112" s="282"/>
      <c r="I112" s="281"/>
      <c r="J112" s="282"/>
      <c r="K112" s="281"/>
      <c r="L112" s="282"/>
      <c r="M112" s="281"/>
      <c r="N112" s="282"/>
      <c r="O112" s="281"/>
      <c r="P112" s="282"/>
      <c r="Q112" s="281"/>
      <c r="R112" s="282"/>
      <c r="S112" s="281"/>
      <c r="T112" s="282"/>
      <c r="U112" s="20"/>
      <c r="AJ112" s="187">
        <v>111</v>
      </c>
      <c r="AK112" s="177">
        <v>45363</v>
      </c>
      <c r="AL112" s="179" t="s">
        <v>657</v>
      </c>
      <c r="AM112" s="178" t="s">
        <v>366</v>
      </c>
      <c r="AN112" s="179" t="s">
        <v>102</v>
      </c>
      <c r="AO112" s="108" t="s">
        <v>189</v>
      </c>
      <c r="AP112" s="179" t="s">
        <v>701</v>
      </c>
    </row>
    <row r="113" spans="1:42">
      <c r="A113" s="281"/>
      <c r="B113" s="281"/>
      <c r="C113" s="281"/>
      <c r="D113" s="282"/>
      <c r="E113" s="281"/>
      <c r="F113" s="282"/>
      <c r="G113" s="281"/>
      <c r="H113" s="282"/>
      <c r="I113" s="281"/>
      <c r="J113" s="282"/>
      <c r="K113" s="281"/>
      <c r="L113" s="282"/>
      <c r="M113" s="281"/>
      <c r="N113" s="282"/>
      <c r="O113" s="281"/>
      <c r="P113" s="282"/>
      <c r="Q113" s="281"/>
      <c r="R113" s="282"/>
      <c r="S113" s="281"/>
      <c r="T113" s="282"/>
      <c r="U113" s="20"/>
      <c r="AJ113" s="187">
        <v>112</v>
      </c>
      <c r="AK113" s="177">
        <v>45363</v>
      </c>
      <c r="AL113" s="178" t="s">
        <v>658</v>
      </c>
      <c r="AM113" s="178" t="s">
        <v>92</v>
      </c>
      <c r="AN113" s="178" t="s">
        <v>110</v>
      </c>
      <c r="AO113" s="108" t="s">
        <v>189</v>
      </c>
      <c r="AP113" s="178" t="s">
        <v>702</v>
      </c>
    </row>
    <row r="114" spans="1:42">
      <c r="A114" s="281"/>
      <c r="B114" s="281"/>
      <c r="C114" s="281"/>
      <c r="D114" s="279"/>
      <c r="E114" s="281"/>
      <c r="F114" s="279"/>
      <c r="G114" s="281"/>
      <c r="H114" s="279"/>
      <c r="I114" s="281"/>
      <c r="J114" s="279"/>
      <c r="K114" s="281"/>
      <c r="L114" s="279"/>
      <c r="M114" s="281"/>
      <c r="N114" s="279"/>
      <c r="O114" s="281"/>
      <c r="P114" s="279"/>
      <c r="Q114" s="281"/>
      <c r="R114" s="279"/>
      <c r="S114" s="281"/>
      <c r="T114" s="279"/>
      <c r="U114" s="20"/>
      <c r="AJ114" s="187">
        <v>113</v>
      </c>
      <c r="AK114" s="177">
        <v>45366</v>
      </c>
      <c r="AL114" s="179" t="s">
        <v>659</v>
      </c>
      <c r="AM114" s="178" t="s">
        <v>375</v>
      </c>
      <c r="AN114" s="179" t="s">
        <v>181</v>
      </c>
      <c r="AO114" s="108" t="s">
        <v>189</v>
      </c>
      <c r="AP114" s="179" t="s">
        <v>703</v>
      </c>
    </row>
    <row r="115" spans="1:42">
      <c r="AJ115" s="187">
        <v>114</v>
      </c>
      <c r="AK115" s="177">
        <v>45366</v>
      </c>
      <c r="AL115" s="179" t="s">
        <v>660</v>
      </c>
      <c r="AM115" s="178" t="s">
        <v>482</v>
      </c>
      <c r="AN115" s="179" t="s">
        <v>102</v>
      </c>
      <c r="AO115" s="108" t="s">
        <v>189</v>
      </c>
      <c r="AP115" s="179" t="s">
        <v>704</v>
      </c>
    </row>
    <row r="116" spans="1:42">
      <c r="AJ116" s="187">
        <v>115</v>
      </c>
      <c r="AK116" s="177">
        <v>45366</v>
      </c>
      <c r="AL116" s="179" t="s">
        <v>661</v>
      </c>
      <c r="AM116" s="178" t="s">
        <v>509</v>
      </c>
      <c r="AN116" s="179" t="s">
        <v>102</v>
      </c>
      <c r="AO116" s="108" t="s">
        <v>189</v>
      </c>
      <c r="AP116" s="179" t="s">
        <v>705</v>
      </c>
    </row>
    <row r="117" spans="1:42" ht="30">
      <c r="AJ117" s="187">
        <v>116</v>
      </c>
      <c r="AK117" s="177">
        <v>45369</v>
      </c>
      <c r="AL117" s="178" t="s">
        <v>662</v>
      </c>
      <c r="AM117" s="178" t="s">
        <v>94</v>
      </c>
      <c r="AN117" s="178" t="s">
        <v>663</v>
      </c>
      <c r="AO117" s="108" t="s">
        <v>189</v>
      </c>
      <c r="AP117" s="178" t="s">
        <v>706</v>
      </c>
    </row>
    <row r="118" spans="1:42">
      <c r="A118" s="93" t="s">
        <v>134</v>
      </c>
      <c r="B118" s="94" t="s">
        <v>339</v>
      </c>
      <c r="C118" s="94" t="s">
        <v>486</v>
      </c>
      <c r="D118" s="94" t="s">
        <v>521</v>
      </c>
      <c r="E118" s="94" t="s">
        <v>631</v>
      </c>
      <c r="F118" s="94" t="s">
        <v>630</v>
      </c>
      <c r="G118" s="94" t="s">
        <v>635</v>
      </c>
      <c r="H118" s="94" t="s">
        <v>735</v>
      </c>
      <c r="I118" s="94" t="s">
        <v>878</v>
      </c>
      <c r="J118" s="94" t="s">
        <v>945</v>
      </c>
      <c r="AJ118" s="184">
        <v>117</v>
      </c>
      <c r="AK118" s="180">
        <v>45369</v>
      </c>
      <c r="AL118" s="188" t="s">
        <v>664</v>
      </c>
      <c r="AM118" s="183" t="s">
        <v>94</v>
      </c>
      <c r="AN118" s="188" t="s">
        <v>603</v>
      </c>
      <c r="AO118" s="184" t="s">
        <v>189</v>
      </c>
      <c r="AP118" s="188" t="s">
        <v>707</v>
      </c>
    </row>
    <row r="119" spans="1:42">
      <c r="A119" s="95" t="s">
        <v>127</v>
      </c>
      <c r="B119" s="96">
        <v>12851</v>
      </c>
      <c r="C119" s="96">
        <v>14326</v>
      </c>
      <c r="D119" s="96">
        <v>14085</v>
      </c>
      <c r="E119" s="96">
        <v>13544</v>
      </c>
      <c r="F119" s="96">
        <v>14506</v>
      </c>
      <c r="G119" s="96">
        <v>19461</v>
      </c>
      <c r="H119" s="96">
        <v>23079</v>
      </c>
      <c r="I119" s="96">
        <v>20911</v>
      </c>
      <c r="J119" s="96">
        <v>20215</v>
      </c>
      <c r="AJ119" s="184">
        <v>118</v>
      </c>
      <c r="AK119" s="180">
        <v>45369</v>
      </c>
      <c r="AL119" s="188" t="s">
        <v>665</v>
      </c>
      <c r="AM119" s="183" t="s">
        <v>94</v>
      </c>
      <c r="AN119" s="188" t="s">
        <v>663</v>
      </c>
      <c r="AO119" s="184" t="s">
        <v>189</v>
      </c>
      <c r="AP119" s="188" t="s">
        <v>587</v>
      </c>
    </row>
    <row r="120" spans="1:42" ht="43.5">
      <c r="A120" s="95" t="s">
        <v>128</v>
      </c>
      <c r="B120" s="97">
        <v>113</v>
      </c>
      <c r="C120" s="97">
        <v>114</v>
      </c>
      <c r="D120" s="97">
        <v>110</v>
      </c>
      <c r="E120" s="97">
        <v>107</v>
      </c>
      <c r="F120" s="97">
        <v>117.5</v>
      </c>
      <c r="G120" s="97">
        <v>157.5</v>
      </c>
      <c r="H120" s="97">
        <v>184.5</v>
      </c>
      <c r="I120" s="97">
        <v>178</v>
      </c>
      <c r="J120" s="97">
        <v>168.5</v>
      </c>
      <c r="AJ120" s="187">
        <v>119</v>
      </c>
      <c r="AK120" s="177">
        <v>45371</v>
      </c>
      <c r="AL120" s="178" t="s">
        <v>666</v>
      </c>
      <c r="AM120" s="178" t="s">
        <v>94</v>
      </c>
      <c r="AN120" s="178" t="s">
        <v>644</v>
      </c>
      <c r="AO120" s="108" t="s">
        <v>189</v>
      </c>
      <c r="AP120" s="178" t="s">
        <v>708</v>
      </c>
    </row>
    <row r="121" spans="1:42" ht="29.25">
      <c r="A121" s="95" t="s">
        <v>129</v>
      </c>
      <c r="B121" s="98">
        <f t="shared" ref="B121:J121" si="7">B119/B120</f>
        <v>113.72566371681415</v>
      </c>
      <c r="C121" s="98">
        <f t="shared" si="7"/>
        <v>125.66666666666667</v>
      </c>
      <c r="D121" s="98">
        <f t="shared" si="7"/>
        <v>128.04545454545453</v>
      </c>
      <c r="E121" s="98">
        <f t="shared" si="7"/>
        <v>126.57943925233644</v>
      </c>
      <c r="F121" s="98">
        <f t="shared" si="7"/>
        <v>123.45531914893617</v>
      </c>
      <c r="G121" s="98">
        <f t="shared" si="7"/>
        <v>123.56190476190476</v>
      </c>
      <c r="H121" s="98">
        <f t="shared" si="7"/>
        <v>125.08943089430895</v>
      </c>
      <c r="I121" s="98">
        <f t="shared" si="7"/>
        <v>117.47752808988764</v>
      </c>
      <c r="J121" s="98">
        <f t="shared" si="7"/>
        <v>119.97032640949556</v>
      </c>
      <c r="AJ121" s="187">
        <v>120</v>
      </c>
      <c r="AK121" s="177">
        <v>45371</v>
      </c>
      <c r="AL121" s="179" t="s">
        <v>667</v>
      </c>
      <c r="AM121" s="178" t="s">
        <v>482</v>
      </c>
      <c r="AN121" s="179" t="s">
        <v>668</v>
      </c>
      <c r="AO121" s="108" t="s">
        <v>189</v>
      </c>
      <c r="AP121" s="179" t="s">
        <v>709</v>
      </c>
    </row>
    <row r="122" spans="1:42" ht="43.5">
      <c r="A122" s="25" t="s">
        <v>135</v>
      </c>
      <c r="B122" s="83">
        <f t="shared" ref="B122:H122" si="8">B120*7.5</f>
        <v>847.5</v>
      </c>
      <c r="C122" s="83">
        <f t="shared" si="8"/>
        <v>855</v>
      </c>
      <c r="D122" s="83">
        <f t="shared" si="8"/>
        <v>825</v>
      </c>
      <c r="E122" s="83">
        <f t="shared" si="8"/>
        <v>802.5</v>
      </c>
      <c r="F122" s="83">
        <f t="shared" si="8"/>
        <v>881.25</v>
      </c>
      <c r="G122" s="83">
        <f t="shared" si="8"/>
        <v>1181.25</v>
      </c>
      <c r="H122" s="83">
        <f t="shared" si="8"/>
        <v>1383.75</v>
      </c>
      <c r="I122" s="83">
        <f>I120*7.5</f>
        <v>1335</v>
      </c>
      <c r="J122" s="83">
        <f>J120*7.5</f>
        <v>1263.75</v>
      </c>
      <c r="K122" s="368"/>
      <c r="AJ122" s="187">
        <v>121</v>
      </c>
      <c r="AK122" s="177">
        <v>45371</v>
      </c>
      <c r="AL122" s="179" t="s">
        <v>669</v>
      </c>
      <c r="AM122" s="178" t="s">
        <v>482</v>
      </c>
      <c r="AN122" s="179" t="s">
        <v>181</v>
      </c>
      <c r="AO122" s="108" t="s">
        <v>189</v>
      </c>
      <c r="AP122" s="179" t="s">
        <v>710</v>
      </c>
    </row>
    <row r="123" spans="1:42" ht="43.5">
      <c r="A123" s="25" t="s">
        <v>136</v>
      </c>
      <c r="B123" s="99">
        <f>7114.5/60</f>
        <v>118.575</v>
      </c>
      <c r="C123" s="99">
        <f>5154.5/60</f>
        <v>85.908333333333331</v>
      </c>
      <c r="D123" s="99">
        <f>3842/60</f>
        <v>64.033333333333331</v>
      </c>
      <c r="E123" s="26">
        <v>92.716666666666669</v>
      </c>
      <c r="F123" s="5">
        <v>118.45</v>
      </c>
      <c r="G123" s="155">
        <f>9952/60</f>
        <v>165.86666666666667</v>
      </c>
      <c r="H123" s="155">
        <f>6196/60</f>
        <v>103.26666666666667</v>
      </c>
      <c r="I123" s="155">
        <f>7485.5/60</f>
        <v>124.75833333333334</v>
      </c>
      <c r="J123" s="5">
        <f>12435/60</f>
        <v>207.25</v>
      </c>
      <c r="AJ123" s="187">
        <v>122</v>
      </c>
      <c r="AK123" s="177">
        <v>45371</v>
      </c>
      <c r="AL123" s="179" t="s">
        <v>670</v>
      </c>
      <c r="AM123" s="178" t="s">
        <v>509</v>
      </c>
      <c r="AN123" s="179" t="s">
        <v>107</v>
      </c>
      <c r="AO123" s="108" t="s">
        <v>189</v>
      </c>
      <c r="AP123" s="179" t="s">
        <v>711</v>
      </c>
    </row>
    <row r="124" spans="1:42">
      <c r="A124" s="25" t="s">
        <v>130</v>
      </c>
      <c r="B124" s="99">
        <f t="shared" ref="B124:J124" si="9">B122-B123</f>
        <v>728.92499999999995</v>
      </c>
      <c r="C124" s="99">
        <f t="shared" si="9"/>
        <v>769.0916666666667</v>
      </c>
      <c r="D124" s="99">
        <f t="shared" si="9"/>
        <v>760.9666666666667</v>
      </c>
      <c r="E124" s="99">
        <f t="shared" si="9"/>
        <v>709.7833333333333</v>
      </c>
      <c r="F124" s="99">
        <f t="shared" si="9"/>
        <v>762.8</v>
      </c>
      <c r="G124" s="99">
        <f t="shared" si="9"/>
        <v>1015.3833333333333</v>
      </c>
      <c r="H124" s="99">
        <f t="shared" si="9"/>
        <v>1280.4833333333333</v>
      </c>
      <c r="I124" s="99">
        <f t="shared" si="9"/>
        <v>1210.2416666666666</v>
      </c>
      <c r="J124" s="99">
        <f t="shared" si="9"/>
        <v>1056.5</v>
      </c>
      <c r="K124" s="369"/>
      <c r="AJ124" s="187">
        <v>123</v>
      </c>
      <c r="AK124" s="177">
        <v>45371</v>
      </c>
      <c r="AL124" s="179" t="s">
        <v>671</v>
      </c>
      <c r="AM124" s="178" t="s">
        <v>509</v>
      </c>
      <c r="AN124" s="179" t="s">
        <v>107</v>
      </c>
      <c r="AO124" s="108" t="s">
        <v>189</v>
      </c>
      <c r="AP124" s="179" t="s">
        <v>712</v>
      </c>
    </row>
    <row r="125" spans="1:42" ht="29.25">
      <c r="A125" s="25" t="s">
        <v>131</v>
      </c>
      <c r="B125" s="99">
        <f t="shared" ref="B125:J125" si="10">B119/B124</f>
        <v>17.630071680899956</v>
      </c>
      <c r="C125" s="99">
        <f t="shared" si="10"/>
        <v>18.627168412954674</v>
      </c>
      <c r="D125" s="99">
        <f t="shared" si="10"/>
        <v>18.509352139822155</v>
      </c>
      <c r="E125" s="99">
        <f t="shared" si="10"/>
        <v>19.081879446779535</v>
      </c>
      <c r="F125" s="99">
        <f t="shared" si="10"/>
        <v>19.016780283167279</v>
      </c>
      <c r="G125" s="99">
        <f t="shared" si="10"/>
        <v>19.166160563334046</v>
      </c>
      <c r="H125" s="99">
        <f t="shared" si="10"/>
        <v>18.023662939775345</v>
      </c>
      <c r="I125" s="99">
        <f t="shared" si="10"/>
        <v>17.278367268245326</v>
      </c>
      <c r="J125" s="99">
        <f t="shared" si="10"/>
        <v>19.133932796971131</v>
      </c>
      <c r="AJ125" s="187">
        <v>124</v>
      </c>
      <c r="AK125" s="177">
        <v>45371</v>
      </c>
      <c r="AL125" s="179" t="s">
        <v>672</v>
      </c>
      <c r="AM125" s="178" t="s">
        <v>482</v>
      </c>
      <c r="AN125" s="179" t="s">
        <v>181</v>
      </c>
      <c r="AO125" s="108" t="s">
        <v>189</v>
      </c>
      <c r="AP125" s="179" t="s">
        <v>713</v>
      </c>
    </row>
    <row r="126" spans="1:42">
      <c r="A126" s="95" t="s">
        <v>132</v>
      </c>
      <c r="B126" s="100">
        <v>10</v>
      </c>
      <c r="C126" s="100">
        <v>6</v>
      </c>
      <c r="D126" s="100">
        <v>8</v>
      </c>
      <c r="E126" s="100">
        <v>6</v>
      </c>
      <c r="F126" s="100">
        <v>9</v>
      </c>
      <c r="G126" s="100">
        <v>12</v>
      </c>
      <c r="H126" s="100">
        <v>12</v>
      </c>
      <c r="I126" s="100">
        <v>9</v>
      </c>
      <c r="J126" s="100">
        <v>21</v>
      </c>
      <c r="AJ126" s="184">
        <v>125</v>
      </c>
      <c r="AK126" s="180">
        <v>45371</v>
      </c>
      <c r="AL126" s="181" t="s">
        <v>673</v>
      </c>
      <c r="AM126" s="183" t="s">
        <v>94</v>
      </c>
      <c r="AN126" s="181" t="s">
        <v>634</v>
      </c>
      <c r="AO126" s="184" t="s">
        <v>189</v>
      </c>
      <c r="AP126" s="181" t="s">
        <v>714</v>
      </c>
    </row>
    <row r="127" spans="1:42">
      <c r="A127" s="95" t="s">
        <v>158</v>
      </c>
      <c r="B127" s="101">
        <f t="shared" ref="B127:J127" si="11">100-(B126/B119)*100</f>
        <v>99.922185043965456</v>
      </c>
      <c r="C127" s="101">
        <f t="shared" si="11"/>
        <v>99.958118106938429</v>
      </c>
      <c r="D127" s="101">
        <f t="shared" si="11"/>
        <v>99.943201987930422</v>
      </c>
      <c r="E127" s="101">
        <f t="shared" si="11"/>
        <v>99.955699940933258</v>
      </c>
      <c r="F127" s="101">
        <f t="shared" si="11"/>
        <v>99.937956707569285</v>
      </c>
      <c r="G127" s="101">
        <f t="shared" si="11"/>
        <v>99.938338214891317</v>
      </c>
      <c r="H127" s="101">
        <f t="shared" si="11"/>
        <v>99.948004679578844</v>
      </c>
      <c r="I127" s="101">
        <f t="shared" si="11"/>
        <v>99.956960451437041</v>
      </c>
      <c r="J127" s="101">
        <f t="shared" si="11"/>
        <v>99.896116744991346</v>
      </c>
      <c r="AJ127" s="184">
        <v>126</v>
      </c>
      <c r="AK127" s="180">
        <v>45383</v>
      </c>
      <c r="AL127" s="189" t="s">
        <v>674</v>
      </c>
      <c r="AM127" s="183" t="s">
        <v>94</v>
      </c>
      <c r="AN127" s="181" t="s">
        <v>634</v>
      </c>
      <c r="AO127" s="184" t="s">
        <v>189</v>
      </c>
      <c r="AP127" s="181" t="s">
        <v>715</v>
      </c>
    </row>
    <row r="128" spans="1:42" ht="29.25">
      <c r="A128" s="102" t="s">
        <v>133</v>
      </c>
      <c r="B128" s="103">
        <f t="shared" ref="B128:J128" si="12">B125/18</f>
        <v>0.97944842671666421</v>
      </c>
      <c r="C128" s="103">
        <f t="shared" si="12"/>
        <v>1.0348426896085929</v>
      </c>
      <c r="D128" s="103">
        <f t="shared" si="12"/>
        <v>1.0282973411012308</v>
      </c>
      <c r="E128" s="103">
        <f t="shared" si="12"/>
        <v>1.0601044137099742</v>
      </c>
      <c r="F128" s="103">
        <f t="shared" si="12"/>
        <v>1.0564877935092933</v>
      </c>
      <c r="G128" s="103">
        <f t="shared" si="12"/>
        <v>1.0647866979630025</v>
      </c>
      <c r="H128" s="103">
        <f t="shared" si="12"/>
        <v>1.001314607765297</v>
      </c>
      <c r="I128" s="103">
        <f t="shared" si="12"/>
        <v>0.9599092926802959</v>
      </c>
      <c r="J128" s="103">
        <f t="shared" si="12"/>
        <v>1.0629962664983961</v>
      </c>
      <c r="AJ128" s="184">
        <v>127</v>
      </c>
      <c r="AK128" s="180">
        <v>45383</v>
      </c>
      <c r="AL128" s="189" t="s">
        <v>675</v>
      </c>
      <c r="AM128" s="183" t="s">
        <v>94</v>
      </c>
      <c r="AN128" s="181" t="s">
        <v>634</v>
      </c>
      <c r="AO128" s="184" t="s">
        <v>189</v>
      </c>
      <c r="AP128" s="181" t="s">
        <v>715</v>
      </c>
    </row>
    <row r="129" spans="1:42" ht="30">
      <c r="AJ129" s="187">
        <v>128</v>
      </c>
      <c r="AK129" s="177">
        <v>45387</v>
      </c>
      <c r="AL129" s="178" t="s">
        <v>716</v>
      </c>
      <c r="AM129" s="178" t="s">
        <v>204</v>
      </c>
      <c r="AN129" s="179" t="s">
        <v>181</v>
      </c>
      <c r="AO129" s="108" t="s">
        <v>189</v>
      </c>
      <c r="AP129" s="178" t="s">
        <v>717</v>
      </c>
    </row>
    <row r="130" spans="1:42" ht="15.75" thickBot="1">
      <c r="A130" s="299">
        <v>175</v>
      </c>
      <c r="B130" s="299">
        <v>85</v>
      </c>
      <c r="C130" s="299">
        <v>85</v>
      </c>
      <c r="D130" s="299">
        <v>100</v>
      </c>
      <c r="E130" s="299" t="s">
        <v>740</v>
      </c>
      <c r="F130" s="299">
        <v>100</v>
      </c>
      <c r="G130" s="299">
        <v>175</v>
      </c>
      <c r="H130" s="299">
        <v>175</v>
      </c>
      <c r="I130" s="299">
        <v>100</v>
      </c>
      <c r="AJ130" s="184">
        <v>129</v>
      </c>
      <c r="AK130" s="180">
        <v>45390</v>
      </c>
      <c r="AL130" s="190" t="s">
        <v>718</v>
      </c>
      <c r="AM130" s="183" t="s">
        <v>204</v>
      </c>
      <c r="AN130" s="183" t="s">
        <v>634</v>
      </c>
      <c r="AO130" s="184" t="s">
        <v>189</v>
      </c>
      <c r="AP130" s="181" t="s">
        <v>719</v>
      </c>
    </row>
    <row r="131" spans="1:42" ht="15.75" thickBot="1">
      <c r="A131" s="299">
        <v>52.5</v>
      </c>
      <c r="B131" s="299">
        <v>17.5</v>
      </c>
      <c r="C131" s="299">
        <v>32.5</v>
      </c>
      <c r="D131" s="299">
        <v>65</v>
      </c>
      <c r="E131" s="299" t="s">
        <v>740</v>
      </c>
      <c r="F131" s="299">
        <v>77.5</v>
      </c>
      <c r="G131" s="299">
        <v>67.5</v>
      </c>
      <c r="H131" s="299">
        <v>65</v>
      </c>
      <c r="I131" s="299">
        <v>67.5</v>
      </c>
      <c r="AJ131" s="184">
        <v>130</v>
      </c>
      <c r="AK131" s="180">
        <v>45390</v>
      </c>
      <c r="AL131" s="190" t="s">
        <v>720</v>
      </c>
      <c r="AM131" s="183" t="s">
        <v>204</v>
      </c>
      <c r="AN131" s="183" t="s">
        <v>634</v>
      </c>
      <c r="AO131" s="184" t="s">
        <v>189</v>
      </c>
      <c r="AP131" s="183" t="s">
        <v>721</v>
      </c>
    </row>
    <row r="132" spans="1:42" ht="15.75" thickBot="1">
      <c r="A132" s="299">
        <v>0</v>
      </c>
      <c r="B132" s="299">
        <v>0</v>
      </c>
      <c r="C132" s="299">
        <v>20</v>
      </c>
      <c r="D132" s="299">
        <v>20</v>
      </c>
      <c r="E132" s="299" t="s">
        <v>740</v>
      </c>
      <c r="F132" s="299">
        <v>5</v>
      </c>
      <c r="G132" s="299">
        <v>10</v>
      </c>
      <c r="H132" s="299">
        <v>23</v>
      </c>
      <c r="I132" s="299">
        <v>20</v>
      </c>
      <c r="AJ132" s="184">
        <v>131</v>
      </c>
      <c r="AK132" s="180">
        <v>45390</v>
      </c>
      <c r="AL132" s="190" t="s">
        <v>722</v>
      </c>
      <c r="AM132" s="183" t="s">
        <v>204</v>
      </c>
      <c r="AN132" s="183" t="s">
        <v>634</v>
      </c>
      <c r="AO132" s="184" t="s">
        <v>189</v>
      </c>
      <c r="AP132" s="183" t="s">
        <v>723</v>
      </c>
    </row>
    <row r="133" spans="1:42" ht="15.75" thickBot="1">
      <c r="A133" s="299">
        <v>1035</v>
      </c>
      <c r="B133" s="299">
        <v>36</v>
      </c>
      <c r="C133" s="299">
        <v>8</v>
      </c>
      <c r="D133" s="299">
        <v>20</v>
      </c>
      <c r="E133" s="299" t="s">
        <v>740</v>
      </c>
      <c r="F133" s="299">
        <v>41</v>
      </c>
      <c r="G133" s="299">
        <v>0</v>
      </c>
      <c r="H133" s="299">
        <v>0</v>
      </c>
      <c r="I133" s="299">
        <v>0</v>
      </c>
      <c r="AJ133" s="184">
        <v>132</v>
      </c>
      <c r="AK133" s="180">
        <v>45390</v>
      </c>
      <c r="AL133" s="190" t="s">
        <v>724</v>
      </c>
      <c r="AM133" s="183" t="s">
        <v>204</v>
      </c>
      <c r="AN133" s="183" t="s">
        <v>634</v>
      </c>
      <c r="AO133" s="184" t="s">
        <v>189</v>
      </c>
      <c r="AP133" s="183" t="s">
        <v>721</v>
      </c>
    </row>
    <row r="134" spans="1:42" ht="15.75" thickBot="1">
      <c r="A134" s="299">
        <v>172</v>
      </c>
      <c r="B134" s="299">
        <v>110</v>
      </c>
      <c r="C134" s="299">
        <v>110</v>
      </c>
      <c r="D134" s="299">
        <v>100</v>
      </c>
      <c r="E134" s="299" t="s">
        <v>740</v>
      </c>
      <c r="F134" s="299">
        <v>110</v>
      </c>
      <c r="G134" s="299">
        <v>175</v>
      </c>
      <c r="H134" s="299">
        <v>155</v>
      </c>
      <c r="I134" s="299">
        <v>95</v>
      </c>
      <c r="AJ134" s="187">
        <v>133</v>
      </c>
      <c r="AK134" s="177">
        <v>45390</v>
      </c>
      <c r="AL134" s="179" t="s">
        <v>725</v>
      </c>
      <c r="AM134" s="178" t="s">
        <v>204</v>
      </c>
      <c r="AN134" s="179" t="s">
        <v>102</v>
      </c>
      <c r="AO134" s="108" t="s">
        <v>189</v>
      </c>
      <c r="AP134" s="179" t="s">
        <v>726</v>
      </c>
    </row>
    <row r="135" spans="1:42" ht="15.75" thickBot="1">
      <c r="A135" s="299">
        <v>60</v>
      </c>
      <c r="B135" s="299">
        <v>180</v>
      </c>
      <c r="C135" s="299">
        <v>90</v>
      </c>
      <c r="D135" s="299">
        <v>0</v>
      </c>
      <c r="E135" s="299" t="s">
        <v>740</v>
      </c>
      <c r="F135" s="299">
        <v>0</v>
      </c>
      <c r="G135" s="299">
        <v>0</v>
      </c>
      <c r="H135" s="299">
        <v>0</v>
      </c>
      <c r="I135" s="299">
        <v>0</v>
      </c>
      <c r="AJ135" s="187">
        <v>134</v>
      </c>
      <c r="AK135" s="177">
        <v>45390</v>
      </c>
      <c r="AL135" s="179" t="s">
        <v>727</v>
      </c>
      <c r="AM135" s="178" t="s">
        <v>204</v>
      </c>
      <c r="AN135" s="179" t="s">
        <v>109</v>
      </c>
      <c r="AO135" s="108" t="s">
        <v>189</v>
      </c>
      <c r="AP135" s="179" t="s">
        <v>728</v>
      </c>
    </row>
    <row r="136" spans="1:42" ht="30.75" thickBot="1">
      <c r="A136" s="299">
        <v>60</v>
      </c>
      <c r="B136" s="299">
        <v>67.5</v>
      </c>
      <c r="C136" s="299">
        <v>57.5</v>
      </c>
      <c r="D136" s="299">
        <v>57.5</v>
      </c>
      <c r="E136" s="299" t="s">
        <v>740</v>
      </c>
      <c r="F136" s="299">
        <v>95</v>
      </c>
      <c r="G136" s="299">
        <v>62.5</v>
      </c>
      <c r="H136" s="299">
        <v>40</v>
      </c>
      <c r="I136" s="299">
        <v>67.5</v>
      </c>
      <c r="AJ136" s="187">
        <v>135</v>
      </c>
      <c r="AK136" s="177">
        <v>45390</v>
      </c>
      <c r="AL136" s="178" t="s">
        <v>729</v>
      </c>
      <c r="AM136" s="178" t="s">
        <v>204</v>
      </c>
      <c r="AN136" s="178" t="s">
        <v>644</v>
      </c>
      <c r="AO136" s="108" t="s">
        <v>189</v>
      </c>
      <c r="AP136" s="178" t="s">
        <v>730</v>
      </c>
    </row>
    <row r="137" spans="1:42" ht="15.75" thickBot="1">
      <c r="A137" s="299">
        <v>0</v>
      </c>
      <c r="B137" s="299">
        <v>5</v>
      </c>
      <c r="C137" s="299">
        <v>30</v>
      </c>
      <c r="D137" s="299">
        <v>35</v>
      </c>
      <c r="E137" s="299" t="s">
        <v>740</v>
      </c>
      <c r="F137" s="299">
        <v>0</v>
      </c>
      <c r="G137" s="299">
        <v>30</v>
      </c>
      <c r="H137" s="299">
        <v>15</v>
      </c>
      <c r="I137" s="299">
        <v>10</v>
      </c>
      <c r="AJ137" s="187">
        <v>136</v>
      </c>
      <c r="AK137" s="177">
        <v>45397</v>
      </c>
      <c r="AL137" s="178" t="s">
        <v>731</v>
      </c>
      <c r="AM137" s="178" t="s">
        <v>204</v>
      </c>
      <c r="AN137" s="178" t="s">
        <v>137</v>
      </c>
      <c r="AO137" s="108" t="s">
        <v>189</v>
      </c>
      <c r="AP137" s="178" t="s">
        <v>732</v>
      </c>
    </row>
    <row r="138" spans="1:42" ht="15.75" thickBot="1">
      <c r="A138" s="299">
        <v>940</v>
      </c>
      <c r="B138" s="299">
        <v>80</v>
      </c>
      <c r="C138" s="299">
        <v>16</v>
      </c>
      <c r="D138" s="299">
        <v>0</v>
      </c>
      <c r="E138" s="299" t="s">
        <v>740</v>
      </c>
      <c r="F138" s="299">
        <v>42</v>
      </c>
      <c r="G138" s="299">
        <v>0</v>
      </c>
      <c r="H138" s="299">
        <v>0</v>
      </c>
      <c r="I138" s="299">
        <v>0</v>
      </c>
      <c r="AJ138" s="187">
        <v>137</v>
      </c>
      <c r="AK138" s="177">
        <v>45397</v>
      </c>
      <c r="AL138" s="178" t="s">
        <v>733</v>
      </c>
      <c r="AM138" s="178" t="s">
        <v>204</v>
      </c>
      <c r="AN138" s="178" t="s">
        <v>603</v>
      </c>
      <c r="AO138" s="108" t="s">
        <v>189</v>
      </c>
      <c r="AP138" s="178" t="s">
        <v>734</v>
      </c>
    </row>
    <row r="139" spans="1:42" ht="30.75" thickBot="1">
      <c r="A139" s="299">
        <v>175</v>
      </c>
      <c r="B139" s="299">
        <v>30</v>
      </c>
      <c r="C139" s="299">
        <v>100</v>
      </c>
      <c r="D139" s="299">
        <v>100</v>
      </c>
      <c r="E139" s="299">
        <v>70</v>
      </c>
      <c r="F139" s="299">
        <v>85</v>
      </c>
      <c r="G139" s="299">
        <v>0</v>
      </c>
      <c r="H139" s="299">
        <v>100</v>
      </c>
      <c r="I139" s="299">
        <v>115</v>
      </c>
      <c r="AJ139" s="187">
        <v>138</v>
      </c>
      <c r="AK139" s="246">
        <v>45418</v>
      </c>
      <c r="AL139" s="247" t="s">
        <v>857</v>
      </c>
      <c r="AM139" s="247" t="s">
        <v>125</v>
      </c>
      <c r="AN139" s="247" t="s">
        <v>634</v>
      </c>
      <c r="AO139" s="108" t="s">
        <v>189</v>
      </c>
      <c r="AP139" s="247" t="s">
        <v>858</v>
      </c>
    </row>
    <row r="140" spans="1:42" ht="45.75" thickBot="1">
      <c r="A140" s="299">
        <v>0</v>
      </c>
      <c r="B140" s="299">
        <v>270</v>
      </c>
      <c r="C140" s="299">
        <v>0</v>
      </c>
      <c r="D140" s="299">
        <v>0</v>
      </c>
      <c r="E140" s="299">
        <v>380</v>
      </c>
      <c r="F140" s="299">
        <v>60</v>
      </c>
      <c r="G140" s="299">
        <v>0</v>
      </c>
      <c r="H140" s="299">
        <v>0</v>
      </c>
      <c r="I140" s="299">
        <v>0</v>
      </c>
      <c r="AJ140" s="187">
        <v>139</v>
      </c>
      <c r="AK140" s="246">
        <v>45421</v>
      </c>
      <c r="AL140" s="247" t="s">
        <v>859</v>
      </c>
      <c r="AM140" s="247" t="s">
        <v>125</v>
      </c>
      <c r="AN140" s="248" t="s">
        <v>109</v>
      </c>
      <c r="AO140" s="108" t="s">
        <v>189</v>
      </c>
      <c r="AP140" s="247" t="s">
        <v>860</v>
      </c>
    </row>
    <row r="141" spans="1:42" ht="75.75" thickBot="1">
      <c r="A141" s="299">
        <v>12.5</v>
      </c>
      <c r="B141" s="299">
        <v>57.5</v>
      </c>
      <c r="C141" s="299">
        <v>40</v>
      </c>
      <c r="D141" s="299">
        <v>35</v>
      </c>
      <c r="E141" s="299">
        <v>50</v>
      </c>
      <c r="F141" s="299">
        <v>82.5</v>
      </c>
      <c r="G141" s="299">
        <v>97.5</v>
      </c>
      <c r="H141" s="299">
        <v>50</v>
      </c>
      <c r="I141" s="299">
        <v>72.5</v>
      </c>
      <c r="AJ141" s="187">
        <v>140</v>
      </c>
      <c r="AK141" s="246">
        <v>45428</v>
      </c>
      <c r="AL141" s="247" t="s">
        <v>861</v>
      </c>
      <c r="AM141" s="247" t="s">
        <v>125</v>
      </c>
      <c r="AN141" s="247" t="s">
        <v>663</v>
      </c>
      <c r="AO141" s="108" t="s">
        <v>189</v>
      </c>
      <c r="AP141" s="247" t="s">
        <v>862</v>
      </c>
    </row>
    <row r="142" spans="1:42" ht="45.75" thickBot="1">
      <c r="A142" s="299">
        <v>0</v>
      </c>
      <c r="B142" s="299">
        <v>0</v>
      </c>
      <c r="C142" s="299">
        <v>33</v>
      </c>
      <c r="D142" s="299">
        <v>25</v>
      </c>
      <c r="E142" s="299">
        <v>0</v>
      </c>
      <c r="F142" s="299">
        <v>0</v>
      </c>
      <c r="G142" s="299">
        <v>10</v>
      </c>
      <c r="H142" s="299">
        <v>25</v>
      </c>
      <c r="I142" s="299">
        <v>15</v>
      </c>
      <c r="AJ142" s="187">
        <v>141</v>
      </c>
      <c r="AK142" s="246">
        <v>45433</v>
      </c>
      <c r="AL142" s="247" t="s">
        <v>863</v>
      </c>
      <c r="AM142" s="247" t="s">
        <v>125</v>
      </c>
      <c r="AN142" s="247" t="s">
        <v>644</v>
      </c>
      <c r="AO142" s="108" t="s">
        <v>189</v>
      </c>
      <c r="AP142" s="247" t="s">
        <v>864</v>
      </c>
    </row>
    <row r="143" spans="1:42" ht="15.75" thickBot="1">
      <c r="A143" s="299">
        <v>952</v>
      </c>
      <c r="B143" s="299">
        <v>10</v>
      </c>
      <c r="C143" s="299">
        <v>12.5</v>
      </c>
      <c r="D143" s="299">
        <v>0</v>
      </c>
      <c r="E143" s="299">
        <v>0</v>
      </c>
      <c r="F143" s="299">
        <v>0</v>
      </c>
      <c r="G143" s="299">
        <v>0</v>
      </c>
      <c r="H143" s="299">
        <v>0</v>
      </c>
      <c r="I143" s="299">
        <v>0</v>
      </c>
      <c r="AJ143" s="184">
        <v>142</v>
      </c>
      <c r="AK143" s="180">
        <v>45433</v>
      </c>
      <c r="AL143" s="190" t="s">
        <v>865</v>
      </c>
      <c r="AM143" s="183" t="s">
        <v>125</v>
      </c>
      <c r="AN143" s="183" t="s">
        <v>663</v>
      </c>
      <c r="AO143" s="184" t="s">
        <v>189</v>
      </c>
      <c r="AP143" s="183" t="s">
        <v>866</v>
      </c>
    </row>
    <row r="144" spans="1:42" ht="15.75" thickBot="1">
      <c r="A144" s="299">
        <v>145</v>
      </c>
      <c r="B144" s="299">
        <v>100</v>
      </c>
      <c r="C144" s="299">
        <v>100</v>
      </c>
      <c r="D144" s="299">
        <v>100</v>
      </c>
      <c r="E144" s="299">
        <v>100</v>
      </c>
      <c r="F144" s="299">
        <v>70</v>
      </c>
      <c r="G144" s="299">
        <v>100</v>
      </c>
      <c r="H144" s="299">
        <v>65</v>
      </c>
      <c r="I144" s="299">
        <v>100</v>
      </c>
      <c r="AJ144" s="184">
        <v>143</v>
      </c>
      <c r="AK144" s="180">
        <v>45433</v>
      </c>
      <c r="AL144" s="190" t="s">
        <v>867</v>
      </c>
      <c r="AM144" s="183" t="s">
        <v>125</v>
      </c>
      <c r="AN144" s="183" t="s">
        <v>603</v>
      </c>
      <c r="AO144" s="184" t="s">
        <v>189</v>
      </c>
      <c r="AP144" s="183" t="s">
        <v>868</v>
      </c>
    </row>
    <row r="145" spans="1:42" ht="15.75" thickBot="1">
      <c r="A145" s="299">
        <v>0</v>
      </c>
      <c r="B145" s="299">
        <v>330</v>
      </c>
      <c r="C145" s="299">
        <v>0</v>
      </c>
      <c r="D145" s="299">
        <v>0</v>
      </c>
      <c r="E145" s="299">
        <v>730</v>
      </c>
      <c r="F145" s="299">
        <v>100</v>
      </c>
      <c r="G145" s="299">
        <v>0</v>
      </c>
      <c r="H145" s="299">
        <v>0</v>
      </c>
      <c r="I145" s="299">
        <v>0</v>
      </c>
      <c r="AJ145" s="187">
        <v>144</v>
      </c>
      <c r="AK145" s="246">
        <v>45440</v>
      </c>
      <c r="AL145" s="247" t="s">
        <v>869</v>
      </c>
      <c r="AM145" s="247" t="s">
        <v>94</v>
      </c>
      <c r="AN145" s="248" t="s">
        <v>107</v>
      </c>
      <c r="AO145" s="108" t="s">
        <v>189</v>
      </c>
      <c r="AP145" s="247" t="s">
        <v>870</v>
      </c>
    </row>
    <row r="146" spans="1:42" ht="15.75" thickBot="1">
      <c r="A146" s="299">
        <v>55</v>
      </c>
      <c r="B146" s="299">
        <v>50</v>
      </c>
      <c r="C146" s="299">
        <v>55</v>
      </c>
      <c r="D146" s="299">
        <v>87.5</v>
      </c>
      <c r="E146" s="299">
        <v>42.5</v>
      </c>
      <c r="F146" s="299">
        <v>70</v>
      </c>
      <c r="G146" s="299">
        <v>105</v>
      </c>
      <c r="H146" s="299">
        <v>35</v>
      </c>
      <c r="I146" s="299">
        <v>55</v>
      </c>
      <c r="AJ146" s="184">
        <v>145</v>
      </c>
      <c r="AK146" s="180">
        <v>45441</v>
      </c>
      <c r="AL146" s="190" t="s">
        <v>871</v>
      </c>
      <c r="AM146" s="183" t="s">
        <v>125</v>
      </c>
      <c r="AN146" s="183" t="s">
        <v>644</v>
      </c>
      <c r="AO146" s="184" t="s">
        <v>189</v>
      </c>
      <c r="AP146" s="183" t="s">
        <v>872</v>
      </c>
    </row>
    <row r="147" spans="1:42" ht="30.75" thickBot="1">
      <c r="A147" s="299">
        <v>10</v>
      </c>
      <c r="B147" s="299">
        <v>0</v>
      </c>
      <c r="C147" s="299">
        <v>35</v>
      </c>
      <c r="D147" s="299">
        <v>15</v>
      </c>
      <c r="E147" s="299">
        <v>0</v>
      </c>
      <c r="F147" s="299">
        <v>10</v>
      </c>
      <c r="G147" s="299">
        <v>5</v>
      </c>
      <c r="H147" s="299">
        <v>25</v>
      </c>
      <c r="I147" s="299">
        <v>5</v>
      </c>
      <c r="AJ147" s="187">
        <v>146</v>
      </c>
      <c r="AK147" s="246">
        <v>45441</v>
      </c>
      <c r="AL147" s="247" t="s">
        <v>873</v>
      </c>
      <c r="AM147" s="247" t="s">
        <v>125</v>
      </c>
      <c r="AN147" s="247" t="s">
        <v>110</v>
      </c>
      <c r="AO147" s="108" t="s">
        <v>189</v>
      </c>
      <c r="AP147" s="247" t="s">
        <v>874</v>
      </c>
    </row>
    <row r="148" spans="1:42" ht="15.75" thickBot="1">
      <c r="A148" s="299">
        <v>742</v>
      </c>
      <c r="B148" s="299">
        <v>138</v>
      </c>
      <c r="C148" s="299">
        <v>20</v>
      </c>
      <c r="D148" s="299">
        <v>25</v>
      </c>
      <c r="E148" s="299">
        <v>0</v>
      </c>
      <c r="F148" s="299">
        <v>0</v>
      </c>
      <c r="G148" s="299">
        <v>0</v>
      </c>
      <c r="H148" s="299">
        <v>0</v>
      </c>
      <c r="I148" s="299">
        <v>0</v>
      </c>
      <c r="AJ148" s="187">
        <v>147</v>
      </c>
      <c r="AK148" s="246"/>
      <c r="AL148" s="247"/>
      <c r="AM148" s="247"/>
      <c r="AN148" s="247"/>
      <c r="AO148" s="108"/>
      <c r="AP148" s="247"/>
    </row>
    <row r="149" spans="1:42" ht="30">
      <c r="A149">
        <f t="shared" ref="A149:I149" si="13">SUM(A130:A148)</f>
        <v>4586</v>
      </c>
      <c r="B149">
        <f t="shared" si="13"/>
        <v>1566.5</v>
      </c>
      <c r="C149">
        <f t="shared" si="13"/>
        <v>844.5</v>
      </c>
      <c r="D149">
        <f t="shared" si="13"/>
        <v>785</v>
      </c>
      <c r="E149">
        <f t="shared" si="13"/>
        <v>1372.5</v>
      </c>
      <c r="F149">
        <f t="shared" si="13"/>
        <v>948</v>
      </c>
      <c r="G149">
        <f t="shared" si="13"/>
        <v>837.5</v>
      </c>
      <c r="H149">
        <f t="shared" si="13"/>
        <v>773</v>
      </c>
      <c r="I149">
        <f t="shared" si="13"/>
        <v>722.5</v>
      </c>
      <c r="AJ149" s="187">
        <v>148</v>
      </c>
      <c r="AK149" s="269">
        <v>45446</v>
      </c>
      <c r="AL149" s="270" t="s">
        <v>897</v>
      </c>
      <c r="AM149" s="271" t="s">
        <v>125</v>
      </c>
      <c r="AN149" s="271" t="s">
        <v>603</v>
      </c>
      <c r="AO149" s="108" t="s">
        <v>189</v>
      </c>
      <c r="AP149" s="271" t="s">
        <v>898</v>
      </c>
    </row>
    <row r="150" spans="1:42" ht="30">
      <c r="AJ150" s="187">
        <v>149</v>
      </c>
      <c r="AK150" s="269">
        <v>45446</v>
      </c>
      <c r="AL150" s="270" t="s">
        <v>899</v>
      </c>
      <c r="AM150" s="271" t="s">
        <v>125</v>
      </c>
      <c r="AN150" s="271" t="s">
        <v>107</v>
      </c>
      <c r="AO150" s="108" t="s">
        <v>189</v>
      </c>
      <c r="AP150" s="271" t="s">
        <v>898</v>
      </c>
    </row>
    <row r="151" spans="1:42" ht="60">
      <c r="AJ151" s="187">
        <v>150</v>
      </c>
      <c r="AK151" s="269">
        <v>45447</v>
      </c>
      <c r="AL151" s="270" t="s">
        <v>900</v>
      </c>
      <c r="AM151" s="271" t="s">
        <v>91</v>
      </c>
      <c r="AN151" s="271" t="s">
        <v>107</v>
      </c>
      <c r="AO151" s="108" t="s">
        <v>189</v>
      </c>
      <c r="AP151" s="271" t="s">
        <v>901</v>
      </c>
    </row>
    <row r="152" spans="1:42">
      <c r="AJ152" s="184">
        <v>151</v>
      </c>
      <c r="AK152" s="180">
        <v>45453</v>
      </c>
      <c r="AL152" s="190" t="s">
        <v>902</v>
      </c>
      <c r="AM152" s="183" t="s">
        <v>91</v>
      </c>
      <c r="AN152" s="183" t="s">
        <v>603</v>
      </c>
      <c r="AO152" s="184" t="s">
        <v>189</v>
      </c>
      <c r="AP152" s="183" t="s">
        <v>903</v>
      </c>
    </row>
    <row r="153" spans="1:42">
      <c r="AJ153" s="187">
        <v>152</v>
      </c>
      <c r="AK153" s="269">
        <v>45457</v>
      </c>
      <c r="AL153" s="271" t="s">
        <v>904</v>
      </c>
      <c r="AM153" s="271" t="s">
        <v>91</v>
      </c>
      <c r="AN153" s="270" t="s">
        <v>603</v>
      </c>
      <c r="AO153" s="108" t="s">
        <v>189</v>
      </c>
      <c r="AP153" s="271" t="s">
        <v>905</v>
      </c>
    </row>
    <row r="154" spans="1:42">
      <c r="AJ154" s="187">
        <v>153</v>
      </c>
      <c r="AK154" s="269">
        <v>45460</v>
      </c>
      <c r="AL154" s="271" t="s">
        <v>906</v>
      </c>
      <c r="AM154" s="271" t="s">
        <v>91</v>
      </c>
      <c r="AN154" s="270" t="s">
        <v>603</v>
      </c>
      <c r="AO154" s="108" t="s">
        <v>189</v>
      </c>
      <c r="AP154" s="271" t="s">
        <v>907</v>
      </c>
    </row>
    <row r="155" spans="1:42">
      <c r="AJ155" s="187">
        <v>154</v>
      </c>
      <c r="AK155" s="269">
        <v>45454</v>
      </c>
      <c r="AL155" s="271" t="s">
        <v>908</v>
      </c>
      <c r="AM155" s="271" t="s">
        <v>91</v>
      </c>
      <c r="AN155" s="270" t="s">
        <v>603</v>
      </c>
      <c r="AO155" s="108" t="s">
        <v>189</v>
      </c>
      <c r="AP155" s="271" t="s">
        <v>909</v>
      </c>
    </row>
    <row r="156" spans="1:42">
      <c r="AJ156" s="187">
        <v>155</v>
      </c>
      <c r="AK156" s="269">
        <v>45455</v>
      </c>
      <c r="AL156" s="271" t="s">
        <v>910</v>
      </c>
      <c r="AM156" s="271" t="s">
        <v>91</v>
      </c>
      <c r="AN156" s="270" t="s">
        <v>603</v>
      </c>
      <c r="AO156" s="108" t="s">
        <v>189</v>
      </c>
      <c r="AP156" s="271" t="s">
        <v>909</v>
      </c>
    </row>
    <row r="157" spans="1:42">
      <c r="AJ157" s="187">
        <v>156</v>
      </c>
      <c r="AK157" s="269">
        <v>45455</v>
      </c>
      <c r="AL157" s="271" t="s">
        <v>911</v>
      </c>
      <c r="AM157" s="271" t="s">
        <v>91</v>
      </c>
      <c r="AN157" s="270" t="s">
        <v>603</v>
      </c>
      <c r="AO157" s="108" t="s">
        <v>189</v>
      </c>
      <c r="AP157" s="271" t="s">
        <v>909</v>
      </c>
    </row>
    <row r="158" spans="1:42" ht="30">
      <c r="AJ158" s="187">
        <v>157</v>
      </c>
      <c r="AK158" s="269">
        <v>45456</v>
      </c>
      <c r="AL158" s="271" t="s">
        <v>912</v>
      </c>
      <c r="AM158" s="271" t="s">
        <v>125</v>
      </c>
      <c r="AN158" s="271" t="s">
        <v>644</v>
      </c>
      <c r="AO158" s="108" t="s">
        <v>189</v>
      </c>
      <c r="AP158" s="271" t="s">
        <v>913</v>
      </c>
    </row>
    <row r="159" spans="1:42" ht="30">
      <c r="AJ159" s="187">
        <v>158</v>
      </c>
      <c r="AK159" s="269">
        <v>45455</v>
      </c>
      <c r="AL159" s="271" t="s">
        <v>914</v>
      </c>
      <c r="AM159" s="271" t="s">
        <v>94</v>
      </c>
      <c r="AN159" s="270" t="s">
        <v>109</v>
      </c>
      <c r="AO159" s="108" t="s">
        <v>189</v>
      </c>
      <c r="AP159" s="271" t="s">
        <v>915</v>
      </c>
    </row>
    <row r="160" spans="1:42" ht="30">
      <c r="AJ160" s="187">
        <v>159</v>
      </c>
      <c r="AK160" s="269">
        <v>45465</v>
      </c>
      <c r="AL160" s="271" t="s">
        <v>916</v>
      </c>
      <c r="AM160" s="271" t="s">
        <v>91</v>
      </c>
      <c r="AN160" s="271" t="s">
        <v>110</v>
      </c>
      <c r="AO160" s="108" t="s">
        <v>189</v>
      </c>
      <c r="AP160" s="271" t="s">
        <v>917</v>
      </c>
    </row>
    <row r="161" spans="36:42" ht="30">
      <c r="AJ161" s="187">
        <v>160</v>
      </c>
      <c r="AK161" s="269">
        <v>45470</v>
      </c>
      <c r="AL161" s="272" t="s">
        <v>918</v>
      </c>
      <c r="AM161" s="271" t="s">
        <v>91</v>
      </c>
      <c r="AN161" s="270" t="s">
        <v>109</v>
      </c>
      <c r="AO161" s="108" t="s">
        <v>189</v>
      </c>
      <c r="AP161" s="271" t="s">
        <v>919</v>
      </c>
    </row>
    <row r="162" spans="36:42" ht="30">
      <c r="AJ162" s="187">
        <v>161</v>
      </c>
      <c r="AK162" s="269">
        <v>45471</v>
      </c>
      <c r="AL162" s="270" t="s">
        <v>920</v>
      </c>
      <c r="AM162" s="271" t="s">
        <v>91</v>
      </c>
      <c r="AN162" s="271" t="s">
        <v>921</v>
      </c>
      <c r="AO162" s="108" t="s">
        <v>189</v>
      </c>
      <c r="AP162" s="271" t="s">
        <v>922</v>
      </c>
    </row>
    <row r="163" spans="36:42" ht="30">
      <c r="AJ163" s="187">
        <v>162</v>
      </c>
      <c r="AK163" s="269">
        <v>45464</v>
      </c>
      <c r="AL163" s="271" t="s">
        <v>923</v>
      </c>
      <c r="AM163" s="271" t="s">
        <v>91</v>
      </c>
      <c r="AN163" s="271" t="s">
        <v>603</v>
      </c>
      <c r="AO163" s="108" t="s">
        <v>189</v>
      </c>
      <c r="AP163" s="271" t="s">
        <v>924</v>
      </c>
    </row>
    <row r="164" spans="36:42">
      <c r="AJ164" s="187">
        <v>163</v>
      </c>
      <c r="AK164" s="269">
        <v>45468</v>
      </c>
      <c r="AL164" s="271" t="s">
        <v>925</v>
      </c>
      <c r="AM164" s="271" t="s">
        <v>91</v>
      </c>
      <c r="AN164" s="271" t="s">
        <v>181</v>
      </c>
      <c r="AO164" s="108" t="s">
        <v>189</v>
      </c>
      <c r="AP164" s="271" t="s">
        <v>926</v>
      </c>
    </row>
    <row r="165" spans="36:42" ht="30">
      <c r="AJ165" s="187">
        <v>164</v>
      </c>
      <c r="AK165" s="269">
        <v>45469</v>
      </c>
      <c r="AL165" s="271" t="s">
        <v>927</v>
      </c>
      <c r="AM165" s="271" t="s">
        <v>91</v>
      </c>
      <c r="AN165" s="271" t="s">
        <v>663</v>
      </c>
      <c r="AO165" s="108" t="s">
        <v>189</v>
      </c>
      <c r="AP165" s="271" t="s">
        <v>928</v>
      </c>
    </row>
    <row r="166" spans="36:42">
      <c r="AJ166" s="187">
        <v>165</v>
      </c>
      <c r="AK166" s="269">
        <v>45470</v>
      </c>
      <c r="AL166" s="271" t="s">
        <v>929</v>
      </c>
      <c r="AM166" s="271" t="s">
        <v>91</v>
      </c>
      <c r="AN166" s="271" t="s">
        <v>181</v>
      </c>
      <c r="AO166" s="108" t="s">
        <v>189</v>
      </c>
      <c r="AP166" s="271" t="s">
        <v>926</v>
      </c>
    </row>
    <row r="167" spans="36:42">
      <c r="AJ167" s="187">
        <v>166</v>
      </c>
      <c r="AK167" s="269">
        <v>45442</v>
      </c>
      <c r="AL167" s="271" t="s">
        <v>930</v>
      </c>
      <c r="AM167" s="271" t="s">
        <v>125</v>
      </c>
      <c r="AN167" s="271" t="s">
        <v>663</v>
      </c>
      <c r="AO167" s="108" t="s">
        <v>189</v>
      </c>
      <c r="AP167" s="271" t="s">
        <v>931</v>
      </c>
    </row>
    <row r="168" spans="36:42" ht="30">
      <c r="AJ168" s="187">
        <v>167</v>
      </c>
      <c r="AK168" s="269">
        <v>45469</v>
      </c>
      <c r="AL168" s="271" t="s">
        <v>932</v>
      </c>
      <c r="AM168" s="271" t="s">
        <v>91</v>
      </c>
      <c r="AN168" s="271" t="s">
        <v>108</v>
      </c>
      <c r="AO168" s="108" t="s">
        <v>189</v>
      </c>
      <c r="AP168" s="271" t="s">
        <v>933</v>
      </c>
    </row>
    <row r="169" spans="36:42">
      <c r="AJ169" s="187">
        <v>168</v>
      </c>
      <c r="AK169" s="269">
        <v>45461</v>
      </c>
      <c r="AL169" s="271" t="s">
        <v>934</v>
      </c>
      <c r="AM169" s="271" t="s">
        <v>91</v>
      </c>
      <c r="AN169" s="271" t="s">
        <v>603</v>
      </c>
      <c r="AO169" s="108" t="s">
        <v>189</v>
      </c>
      <c r="AP169" s="271" t="s">
        <v>935</v>
      </c>
    </row>
    <row r="170" spans="36:42">
      <c r="AJ170" s="187">
        <v>169</v>
      </c>
      <c r="AK170" s="269">
        <v>45463</v>
      </c>
      <c r="AL170" s="271" t="s">
        <v>936</v>
      </c>
      <c r="AM170" s="271" t="s">
        <v>91</v>
      </c>
      <c r="AN170" s="271" t="s">
        <v>110</v>
      </c>
      <c r="AO170" s="108" t="s">
        <v>189</v>
      </c>
      <c r="AP170" s="271" t="s">
        <v>937</v>
      </c>
    </row>
    <row r="171" spans="36:42">
      <c r="AJ171" s="187">
        <v>170</v>
      </c>
      <c r="AK171" s="269">
        <v>45464</v>
      </c>
      <c r="AL171" s="271" t="s">
        <v>938</v>
      </c>
      <c r="AM171" s="271" t="s">
        <v>91</v>
      </c>
      <c r="AN171" s="271" t="s">
        <v>644</v>
      </c>
      <c r="AO171" s="108" t="s">
        <v>189</v>
      </c>
      <c r="AP171" s="271" t="s">
        <v>939</v>
      </c>
    </row>
    <row r="172" spans="36:42">
      <c r="AJ172" s="187">
        <v>171</v>
      </c>
      <c r="AK172" s="269">
        <v>45469</v>
      </c>
      <c r="AL172" s="271" t="s">
        <v>940</v>
      </c>
      <c r="AM172" s="271" t="s">
        <v>91</v>
      </c>
      <c r="AN172" s="270" t="s">
        <v>109</v>
      </c>
      <c r="AO172" s="108" t="s">
        <v>189</v>
      </c>
      <c r="AP172" s="271" t="s">
        <v>941</v>
      </c>
    </row>
    <row r="173" spans="36:42" ht="30">
      <c r="AJ173" s="187">
        <v>172</v>
      </c>
      <c r="AK173" s="269">
        <v>45471</v>
      </c>
      <c r="AL173" s="271" t="s">
        <v>942</v>
      </c>
      <c r="AM173" s="271" t="s">
        <v>91</v>
      </c>
      <c r="AN173" s="271" t="s">
        <v>644</v>
      </c>
      <c r="AO173" s="108" t="s">
        <v>189</v>
      </c>
      <c r="AP173" s="271" t="s">
        <v>943</v>
      </c>
    </row>
    <row r="174" spans="36:42">
      <c r="AJ174" s="187">
        <v>173</v>
      </c>
      <c r="AK174" s="269">
        <v>45470</v>
      </c>
      <c r="AL174" s="271" t="s">
        <v>906</v>
      </c>
      <c r="AM174" s="271" t="s">
        <v>91</v>
      </c>
      <c r="AN174" s="271" t="s">
        <v>603</v>
      </c>
      <c r="AO174" s="108" t="s">
        <v>189</v>
      </c>
      <c r="AP174" s="271" t="s">
        <v>944</v>
      </c>
    </row>
  </sheetData>
  <mergeCells count="145">
    <mergeCell ref="M87:N88"/>
    <mergeCell ref="O87:P88"/>
    <mergeCell ref="Q87:R88"/>
    <mergeCell ref="S87:T88"/>
    <mergeCell ref="A89:B89"/>
    <mergeCell ref="C89:D89"/>
    <mergeCell ref="E89:F89"/>
    <mergeCell ref="G89:H89"/>
    <mergeCell ref="I89:J89"/>
    <mergeCell ref="K89:L89"/>
    <mergeCell ref="A87:B88"/>
    <mergeCell ref="C87:D88"/>
    <mergeCell ref="E87:F88"/>
    <mergeCell ref="G87:H88"/>
    <mergeCell ref="I87:J88"/>
    <mergeCell ref="K87:L88"/>
    <mergeCell ref="M89:N89"/>
    <mergeCell ref="O89:P89"/>
    <mergeCell ref="Q89:R89"/>
    <mergeCell ref="S89:T89"/>
    <mergeCell ref="I67:J68"/>
    <mergeCell ref="K67:L68"/>
    <mergeCell ref="M67:N68"/>
    <mergeCell ref="O67:P68"/>
    <mergeCell ref="Q67:R68"/>
    <mergeCell ref="S67:T68"/>
    <mergeCell ref="A69:B69"/>
    <mergeCell ref="C69:D69"/>
    <mergeCell ref="E69:F69"/>
    <mergeCell ref="G69:H69"/>
    <mergeCell ref="I69:J69"/>
    <mergeCell ref="K69:L69"/>
    <mergeCell ref="M69:N69"/>
    <mergeCell ref="O69:P69"/>
    <mergeCell ref="Q69:R69"/>
    <mergeCell ref="S69:T69"/>
    <mergeCell ref="A67:B68"/>
    <mergeCell ref="C67:D68"/>
    <mergeCell ref="E67:F68"/>
    <mergeCell ref="G67:H68"/>
    <mergeCell ref="I47:J48"/>
    <mergeCell ref="K47:L48"/>
    <mergeCell ref="M47:N48"/>
    <mergeCell ref="O47:P48"/>
    <mergeCell ref="Q47:R48"/>
    <mergeCell ref="S47:T48"/>
    <mergeCell ref="A49:B49"/>
    <mergeCell ref="C49:D49"/>
    <mergeCell ref="E49:F49"/>
    <mergeCell ref="G49:H49"/>
    <mergeCell ref="I49:J49"/>
    <mergeCell ref="K49:L49"/>
    <mergeCell ref="M49:N49"/>
    <mergeCell ref="O49:P49"/>
    <mergeCell ref="Q49:R49"/>
    <mergeCell ref="S49:T49"/>
    <mergeCell ref="A47:B48"/>
    <mergeCell ref="C47:D48"/>
    <mergeCell ref="E47:F48"/>
    <mergeCell ref="G47:H48"/>
    <mergeCell ref="O27:P28"/>
    <mergeCell ref="Q27:R28"/>
    <mergeCell ref="S27:T28"/>
    <mergeCell ref="A29:B29"/>
    <mergeCell ref="C29:D29"/>
    <mergeCell ref="E29:F29"/>
    <mergeCell ref="G29:H29"/>
    <mergeCell ref="I29:J29"/>
    <mergeCell ref="K29:L29"/>
    <mergeCell ref="M29:N29"/>
    <mergeCell ref="O29:P29"/>
    <mergeCell ref="Q29:R29"/>
    <mergeCell ref="S29:T29"/>
    <mergeCell ref="E27:F28"/>
    <mergeCell ref="G27:H28"/>
    <mergeCell ref="I27:J28"/>
    <mergeCell ref="K27:L28"/>
    <mergeCell ref="M27:N28"/>
    <mergeCell ref="A27:B28"/>
    <mergeCell ref="C27:D28"/>
    <mergeCell ref="C16:D16"/>
    <mergeCell ref="E16:F16"/>
    <mergeCell ref="G16:H16"/>
    <mergeCell ref="I16:J16"/>
    <mergeCell ref="K16:L16"/>
    <mergeCell ref="M16:N16"/>
    <mergeCell ref="O16:P16"/>
    <mergeCell ref="Q16:R16"/>
    <mergeCell ref="S16:T16"/>
    <mergeCell ref="C36:D36"/>
    <mergeCell ref="E36:F36"/>
    <mergeCell ref="G36:H36"/>
    <mergeCell ref="I36:J36"/>
    <mergeCell ref="K36:L36"/>
    <mergeCell ref="M36:N36"/>
    <mergeCell ref="O36:P36"/>
    <mergeCell ref="Q36:R36"/>
    <mergeCell ref="S36:T36"/>
    <mergeCell ref="C56:D56"/>
    <mergeCell ref="E56:F56"/>
    <mergeCell ref="G56:H56"/>
    <mergeCell ref="I56:J56"/>
    <mergeCell ref="K56:L56"/>
    <mergeCell ref="M56:N56"/>
    <mergeCell ref="O56:P56"/>
    <mergeCell ref="Q56:R56"/>
    <mergeCell ref="S56:T56"/>
    <mergeCell ref="C76:D76"/>
    <mergeCell ref="E76:F76"/>
    <mergeCell ref="G76:H76"/>
    <mergeCell ref="I76:J76"/>
    <mergeCell ref="K76:L76"/>
    <mergeCell ref="M76:N76"/>
    <mergeCell ref="O76:P76"/>
    <mergeCell ref="Q76:R76"/>
    <mergeCell ref="S76:T76"/>
    <mergeCell ref="C96:D96"/>
    <mergeCell ref="E96:F96"/>
    <mergeCell ref="G96:H96"/>
    <mergeCell ref="I96:J96"/>
    <mergeCell ref="K96:L96"/>
    <mergeCell ref="M96:N96"/>
    <mergeCell ref="O96:P96"/>
    <mergeCell ref="Q96:R96"/>
    <mergeCell ref="S96:T96"/>
    <mergeCell ref="S109:T109"/>
    <mergeCell ref="O107:P108"/>
    <mergeCell ref="Q107:R108"/>
    <mergeCell ref="S107:T108"/>
    <mergeCell ref="A109:B109"/>
    <mergeCell ref="C109:D109"/>
    <mergeCell ref="E109:F109"/>
    <mergeCell ref="G109:H109"/>
    <mergeCell ref="I109:J109"/>
    <mergeCell ref="K109:L109"/>
    <mergeCell ref="M109:N109"/>
    <mergeCell ref="A107:B108"/>
    <mergeCell ref="C107:D108"/>
    <mergeCell ref="E107:F108"/>
    <mergeCell ref="G107:H108"/>
    <mergeCell ref="I107:J108"/>
    <mergeCell ref="K107:L108"/>
    <mergeCell ref="M107:N108"/>
    <mergeCell ref="O109:P109"/>
    <mergeCell ref="Q109:R10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DA4ABB-65B7-4820-B8A0-DA75839EA403}">
  <sheetPr codeName="Sheet2">
    <tabColor rgb="FF00B050"/>
  </sheetPr>
  <dimension ref="A1:BB53"/>
  <sheetViews>
    <sheetView showGridLines="0" topLeftCell="A12" zoomScale="75" zoomScaleNormal="75" workbookViewId="0">
      <selection activeCell="B25" sqref="B24:B25"/>
    </sheetView>
  </sheetViews>
  <sheetFormatPr defaultRowHeight="15"/>
  <cols>
    <col min="1" max="1" width="36.7109375" bestFit="1" customWidth="1"/>
    <col min="2" max="5" width="11.140625" style="3" bestFit="1" customWidth="1"/>
    <col min="6" max="20" width="12.28515625" style="3" bestFit="1" customWidth="1"/>
    <col min="21" max="21" width="12.28515625" style="3" customWidth="1"/>
    <col min="22" max="23" width="12.28515625" style="3" bestFit="1" customWidth="1"/>
    <col min="24" max="33" width="12.28515625" bestFit="1" customWidth="1"/>
    <col min="34" max="54" width="9.140625" style="6"/>
  </cols>
  <sheetData>
    <row r="1" spans="1:33" ht="18.75">
      <c r="A1" s="433" t="s">
        <v>404</v>
      </c>
      <c r="B1" s="434"/>
      <c r="C1" s="434"/>
      <c r="D1" s="434"/>
      <c r="E1" s="434"/>
      <c r="F1" s="434"/>
      <c r="G1" s="434"/>
      <c r="H1" s="434"/>
      <c r="I1" s="434"/>
      <c r="J1" s="434"/>
      <c r="K1" s="434"/>
      <c r="L1" s="434"/>
      <c r="M1" s="434"/>
      <c r="N1" s="434"/>
      <c r="O1" s="434"/>
      <c r="P1" s="434"/>
      <c r="Q1" s="434"/>
      <c r="R1" s="434"/>
      <c r="S1" s="434"/>
      <c r="T1" s="434"/>
      <c r="U1" s="434"/>
      <c r="V1" s="434"/>
      <c r="W1" s="434"/>
      <c r="X1" s="434"/>
      <c r="Y1" s="434"/>
      <c r="Z1" s="434"/>
      <c r="AA1" s="434"/>
      <c r="AB1" s="434"/>
      <c r="AC1" s="434"/>
      <c r="AD1" s="434"/>
      <c r="AE1" s="434"/>
      <c r="AF1" s="434"/>
      <c r="AG1" s="434"/>
    </row>
    <row r="2" spans="1:33">
      <c r="A2" s="114" t="s">
        <v>87</v>
      </c>
      <c r="B2" s="151" t="s">
        <v>13</v>
      </c>
      <c r="C2" s="113">
        <v>45444</v>
      </c>
      <c r="D2" s="113">
        <v>45445</v>
      </c>
      <c r="E2" s="113">
        <v>45446</v>
      </c>
      <c r="F2" s="113">
        <v>45447</v>
      </c>
      <c r="G2" s="113">
        <v>45448</v>
      </c>
      <c r="H2" s="113">
        <v>45449</v>
      </c>
      <c r="I2" s="113">
        <v>45450</v>
      </c>
      <c r="J2" s="113">
        <v>45451</v>
      </c>
      <c r="K2" s="113">
        <v>45452</v>
      </c>
      <c r="L2" s="113">
        <v>45453</v>
      </c>
      <c r="M2" s="113">
        <v>45454</v>
      </c>
      <c r="N2" s="113">
        <v>45455</v>
      </c>
      <c r="O2" s="113">
        <v>45456</v>
      </c>
      <c r="P2" s="113">
        <v>45457</v>
      </c>
      <c r="Q2" s="113">
        <v>45458</v>
      </c>
      <c r="R2" s="113">
        <v>45459</v>
      </c>
      <c r="S2" s="113">
        <v>45460</v>
      </c>
      <c r="T2" s="113">
        <v>45461</v>
      </c>
      <c r="U2" s="113">
        <v>45462</v>
      </c>
      <c r="V2" s="113">
        <v>45463</v>
      </c>
      <c r="W2" s="113">
        <v>45464</v>
      </c>
      <c r="X2" s="113">
        <v>45465</v>
      </c>
      <c r="Y2" s="113">
        <v>45466</v>
      </c>
      <c r="Z2" s="113">
        <v>45467</v>
      </c>
      <c r="AA2" s="113">
        <v>45468</v>
      </c>
      <c r="AB2" s="113">
        <v>45469</v>
      </c>
      <c r="AC2" s="113">
        <v>45470</v>
      </c>
      <c r="AD2" s="113">
        <v>45471</v>
      </c>
      <c r="AE2" s="113">
        <v>45472</v>
      </c>
      <c r="AF2" s="113">
        <v>45473</v>
      </c>
      <c r="AG2" s="194">
        <v>45443</v>
      </c>
    </row>
    <row r="3" spans="1:33">
      <c r="A3" s="12" t="s">
        <v>405</v>
      </c>
      <c r="B3" s="83">
        <v>537</v>
      </c>
      <c r="C3" s="83">
        <v>0</v>
      </c>
      <c r="D3" s="83">
        <v>0</v>
      </c>
      <c r="E3" s="83">
        <v>24</v>
      </c>
      <c r="F3" s="83">
        <v>22</v>
      </c>
      <c r="G3" s="83">
        <v>18</v>
      </c>
      <c r="H3" s="83">
        <v>16</v>
      </c>
      <c r="I3" s="83">
        <v>13</v>
      </c>
      <c r="J3" s="83">
        <v>0</v>
      </c>
      <c r="K3" s="83">
        <v>0</v>
      </c>
      <c r="L3" s="83">
        <v>31</v>
      </c>
      <c r="M3" s="83">
        <v>27</v>
      </c>
      <c r="N3" s="83">
        <v>31</v>
      </c>
      <c r="O3" s="83">
        <v>16</v>
      </c>
      <c r="P3" s="83">
        <v>23</v>
      </c>
      <c r="Q3" s="83">
        <v>0</v>
      </c>
      <c r="R3" s="83">
        <v>0</v>
      </c>
      <c r="S3" s="83">
        <v>18</v>
      </c>
      <c r="T3" s="83">
        <v>17</v>
      </c>
      <c r="U3" s="83">
        <v>21</v>
      </c>
      <c r="V3" s="83">
        <v>17</v>
      </c>
      <c r="W3" s="83">
        <v>22</v>
      </c>
      <c r="X3" s="83">
        <v>0</v>
      </c>
      <c r="Y3" s="83">
        <v>0</v>
      </c>
      <c r="Z3" s="83">
        <v>32</v>
      </c>
      <c r="AA3" s="83">
        <v>41</v>
      </c>
      <c r="AB3" s="83">
        <v>73</v>
      </c>
      <c r="AC3" s="83">
        <v>34</v>
      </c>
      <c r="AD3" s="83">
        <v>41</v>
      </c>
      <c r="AE3" s="83">
        <v>0</v>
      </c>
      <c r="AF3" s="83">
        <v>0</v>
      </c>
      <c r="AG3" s="83">
        <v>18</v>
      </c>
    </row>
    <row r="4" spans="1:33">
      <c r="A4" s="12" t="s">
        <v>406</v>
      </c>
      <c r="B4" s="83">
        <v>13</v>
      </c>
      <c r="C4" s="83">
        <v>0</v>
      </c>
      <c r="D4" s="83">
        <v>0</v>
      </c>
      <c r="E4" s="83">
        <v>1</v>
      </c>
      <c r="F4" s="83">
        <v>1</v>
      </c>
      <c r="G4" s="83">
        <v>1</v>
      </c>
      <c r="H4" s="83">
        <v>0</v>
      </c>
      <c r="I4" s="83">
        <v>0</v>
      </c>
      <c r="J4" s="83">
        <v>0</v>
      </c>
      <c r="K4" s="83">
        <v>0</v>
      </c>
      <c r="L4" s="83">
        <v>0</v>
      </c>
      <c r="M4" s="83">
        <v>0</v>
      </c>
      <c r="N4" s="83">
        <v>0</v>
      </c>
      <c r="O4" s="83">
        <v>1</v>
      </c>
      <c r="P4" s="83">
        <v>2</v>
      </c>
      <c r="Q4" s="83">
        <v>0</v>
      </c>
      <c r="R4" s="83">
        <v>0</v>
      </c>
      <c r="S4" s="83">
        <v>2</v>
      </c>
      <c r="T4" s="83">
        <v>0</v>
      </c>
      <c r="U4" s="83">
        <v>2</v>
      </c>
      <c r="V4" s="83">
        <v>2</v>
      </c>
      <c r="W4" s="83">
        <v>1</v>
      </c>
      <c r="X4" s="83">
        <v>0</v>
      </c>
      <c r="Y4" s="83">
        <v>0</v>
      </c>
      <c r="Z4" s="83">
        <v>0</v>
      </c>
      <c r="AA4" s="83">
        <v>0</v>
      </c>
      <c r="AB4" s="83">
        <v>0</v>
      </c>
      <c r="AC4" s="83">
        <v>0</v>
      </c>
      <c r="AD4" s="83">
        <v>0</v>
      </c>
      <c r="AE4" s="83">
        <v>0</v>
      </c>
      <c r="AF4" s="83">
        <v>0</v>
      </c>
      <c r="AG4" s="83">
        <v>1</v>
      </c>
    </row>
    <row r="5" spans="1:33">
      <c r="A5" s="12" t="s">
        <v>407</v>
      </c>
      <c r="B5" s="83">
        <v>145</v>
      </c>
      <c r="C5" s="83">
        <v>0</v>
      </c>
      <c r="D5" s="83">
        <v>0</v>
      </c>
      <c r="E5" s="83">
        <v>24</v>
      </c>
      <c r="F5" s="83">
        <v>7</v>
      </c>
      <c r="G5" s="83">
        <v>10</v>
      </c>
      <c r="H5" s="83">
        <v>2</v>
      </c>
      <c r="I5" s="83">
        <v>16</v>
      </c>
      <c r="J5" s="83">
        <v>0</v>
      </c>
      <c r="K5" s="83">
        <v>0</v>
      </c>
      <c r="L5" s="83">
        <v>2</v>
      </c>
      <c r="M5" s="83">
        <v>5</v>
      </c>
      <c r="N5" s="83">
        <v>3</v>
      </c>
      <c r="O5" s="83">
        <v>2</v>
      </c>
      <c r="P5" s="83">
        <v>9</v>
      </c>
      <c r="Q5" s="83">
        <v>0</v>
      </c>
      <c r="R5" s="83">
        <v>0</v>
      </c>
      <c r="S5" s="83">
        <v>11</v>
      </c>
      <c r="T5" s="83">
        <v>3</v>
      </c>
      <c r="U5" s="83">
        <v>1</v>
      </c>
      <c r="V5" s="83">
        <v>0</v>
      </c>
      <c r="W5" s="83">
        <v>28</v>
      </c>
      <c r="X5" s="83">
        <v>0</v>
      </c>
      <c r="Y5" s="83">
        <v>0</v>
      </c>
      <c r="Z5" s="83">
        <v>10</v>
      </c>
      <c r="AA5" s="83">
        <v>1</v>
      </c>
      <c r="AB5" s="83">
        <v>3</v>
      </c>
      <c r="AC5" s="83">
        <v>1</v>
      </c>
      <c r="AD5" s="83">
        <v>7</v>
      </c>
      <c r="AE5" s="83">
        <v>0</v>
      </c>
      <c r="AF5" s="83">
        <v>0</v>
      </c>
      <c r="AG5" s="83">
        <v>9</v>
      </c>
    </row>
    <row r="6" spans="1:33">
      <c r="A6" s="114" t="s">
        <v>9</v>
      </c>
      <c r="B6" s="84">
        <v>695</v>
      </c>
      <c r="C6" s="85">
        <v>0</v>
      </c>
      <c r="D6" s="85">
        <v>0</v>
      </c>
      <c r="E6" s="85">
        <v>49</v>
      </c>
      <c r="F6" s="85">
        <v>30</v>
      </c>
      <c r="G6" s="85">
        <v>29</v>
      </c>
      <c r="H6" s="85">
        <v>18</v>
      </c>
      <c r="I6" s="85">
        <v>29</v>
      </c>
      <c r="J6" s="85">
        <v>0</v>
      </c>
      <c r="K6" s="85">
        <v>0</v>
      </c>
      <c r="L6" s="85">
        <v>33</v>
      </c>
      <c r="M6" s="85">
        <v>32</v>
      </c>
      <c r="N6" s="85">
        <v>34</v>
      </c>
      <c r="O6" s="85">
        <v>19</v>
      </c>
      <c r="P6" s="85">
        <v>34</v>
      </c>
      <c r="Q6" s="85">
        <v>0</v>
      </c>
      <c r="R6" s="85">
        <v>0</v>
      </c>
      <c r="S6" s="85">
        <v>31</v>
      </c>
      <c r="T6" s="85">
        <v>20</v>
      </c>
      <c r="U6" s="85">
        <v>24</v>
      </c>
      <c r="V6" s="85">
        <v>19</v>
      </c>
      <c r="W6" s="85">
        <v>51</v>
      </c>
      <c r="X6" s="85">
        <v>0</v>
      </c>
      <c r="Y6" s="85">
        <v>0</v>
      </c>
      <c r="Z6" s="85">
        <v>42</v>
      </c>
      <c r="AA6" s="85">
        <v>42</v>
      </c>
      <c r="AB6" s="85">
        <v>76</v>
      </c>
      <c r="AC6" s="85">
        <v>35</v>
      </c>
      <c r="AD6" s="85">
        <v>48</v>
      </c>
      <c r="AE6" s="85">
        <v>0</v>
      </c>
      <c r="AF6" s="85">
        <v>0</v>
      </c>
      <c r="AG6" s="85">
        <v>28</v>
      </c>
    </row>
    <row r="7" spans="1:33">
      <c r="A7" s="12" t="s">
        <v>408</v>
      </c>
      <c r="B7" s="83">
        <v>0</v>
      </c>
      <c r="C7" s="83"/>
      <c r="D7" s="83">
        <v>0</v>
      </c>
      <c r="E7" s="83">
        <v>0</v>
      </c>
      <c r="F7" s="83">
        <v>0</v>
      </c>
      <c r="G7" s="83">
        <v>0</v>
      </c>
      <c r="H7" s="83">
        <v>0</v>
      </c>
      <c r="I7" s="83">
        <v>0</v>
      </c>
      <c r="J7" s="83">
        <v>0</v>
      </c>
      <c r="K7" s="83">
        <v>0</v>
      </c>
      <c r="L7" s="83">
        <v>0</v>
      </c>
      <c r="M7" s="83">
        <v>0</v>
      </c>
      <c r="N7" s="83">
        <v>0</v>
      </c>
      <c r="O7" s="83">
        <v>0</v>
      </c>
      <c r="P7" s="83">
        <v>0</v>
      </c>
      <c r="Q7" s="83">
        <v>0</v>
      </c>
      <c r="R7" s="83">
        <v>0</v>
      </c>
      <c r="S7" s="83">
        <v>0</v>
      </c>
      <c r="T7" s="83">
        <v>0</v>
      </c>
      <c r="U7" s="83">
        <v>0</v>
      </c>
      <c r="V7" s="83">
        <v>0</v>
      </c>
      <c r="W7" s="83">
        <v>0</v>
      </c>
      <c r="X7" s="83">
        <v>0</v>
      </c>
      <c r="Y7" s="83">
        <v>0</v>
      </c>
      <c r="Z7" s="83">
        <v>0</v>
      </c>
      <c r="AA7" s="83">
        <v>0</v>
      </c>
      <c r="AB7" s="83">
        <v>0</v>
      </c>
      <c r="AC7" s="83">
        <v>0</v>
      </c>
      <c r="AD7" s="83">
        <v>0</v>
      </c>
      <c r="AE7" s="83">
        <v>0</v>
      </c>
      <c r="AF7" s="83">
        <v>0</v>
      </c>
      <c r="AG7" s="83">
        <v>0</v>
      </c>
    </row>
    <row r="8" spans="1:33">
      <c r="A8" s="12" t="s">
        <v>409</v>
      </c>
      <c r="B8" s="83">
        <v>628</v>
      </c>
      <c r="C8" s="83">
        <v>0</v>
      </c>
      <c r="D8" s="83">
        <v>0</v>
      </c>
      <c r="E8" s="83">
        <v>50</v>
      </c>
      <c r="F8" s="83">
        <v>24</v>
      </c>
      <c r="G8" s="83">
        <v>25</v>
      </c>
      <c r="H8" s="83">
        <v>18</v>
      </c>
      <c r="I8" s="83">
        <v>23</v>
      </c>
      <c r="J8" s="83">
        <v>0</v>
      </c>
      <c r="K8" s="83">
        <v>0</v>
      </c>
      <c r="L8" s="83">
        <v>34</v>
      </c>
      <c r="M8" s="83">
        <v>29</v>
      </c>
      <c r="N8" s="83">
        <v>33</v>
      </c>
      <c r="O8" s="83">
        <v>19</v>
      </c>
      <c r="P8" s="83">
        <v>26</v>
      </c>
      <c r="Q8" s="83">
        <v>0</v>
      </c>
      <c r="R8" s="83">
        <v>0</v>
      </c>
      <c r="S8" s="83">
        <v>27</v>
      </c>
      <c r="T8" s="83">
        <v>16</v>
      </c>
      <c r="U8" s="83">
        <v>24</v>
      </c>
      <c r="V8" s="83">
        <v>19</v>
      </c>
      <c r="W8" s="83">
        <v>38</v>
      </c>
      <c r="X8" s="83">
        <v>0</v>
      </c>
      <c r="Y8" s="83">
        <v>0</v>
      </c>
      <c r="Z8" s="83">
        <v>32</v>
      </c>
      <c r="AA8" s="83">
        <v>43</v>
      </c>
      <c r="AB8" s="83">
        <v>70</v>
      </c>
      <c r="AC8" s="83">
        <v>38</v>
      </c>
      <c r="AD8" s="83">
        <v>40</v>
      </c>
      <c r="AE8" s="83">
        <v>0</v>
      </c>
      <c r="AF8" s="83">
        <v>0</v>
      </c>
      <c r="AG8" s="83">
        <v>19</v>
      </c>
    </row>
    <row r="9" spans="1:33">
      <c r="A9" s="12" t="s">
        <v>410</v>
      </c>
      <c r="B9" s="83">
        <v>525</v>
      </c>
      <c r="C9" s="83">
        <v>0</v>
      </c>
      <c r="D9" s="83">
        <v>0</v>
      </c>
      <c r="E9" s="83">
        <v>45</v>
      </c>
      <c r="F9" s="83">
        <v>16</v>
      </c>
      <c r="G9" s="83">
        <v>21</v>
      </c>
      <c r="H9" s="83">
        <v>16</v>
      </c>
      <c r="I9" s="83">
        <v>21</v>
      </c>
      <c r="J9" s="83">
        <v>0</v>
      </c>
      <c r="K9" s="83">
        <v>0</v>
      </c>
      <c r="L9" s="83">
        <v>25</v>
      </c>
      <c r="M9" s="83">
        <v>20</v>
      </c>
      <c r="N9" s="83">
        <v>29</v>
      </c>
      <c r="O9" s="83">
        <v>15</v>
      </c>
      <c r="P9" s="83">
        <v>18</v>
      </c>
      <c r="Q9" s="83">
        <v>0</v>
      </c>
      <c r="R9" s="83">
        <v>0</v>
      </c>
      <c r="S9" s="83">
        <v>24</v>
      </c>
      <c r="T9" s="83">
        <v>13</v>
      </c>
      <c r="U9" s="83">
        <v>19</v>
      </c>
      <c r="V9" s="83">
        <v>17</v>
      </c>
      <c r="W9" s="83">
        <v>34</v>
      </c>
      <c r="X9" s="83">
        <v>0</v>
      </c>
      <c r="Y9" s="83">
        <v>0</v>
      </c>
      <c r="Z9" s="83">
        <v>24</v>
      </c>
      <c r="AA9" s="83">
        <v>38</v>
      </c>
      <c r="AB9" s="83">
        <v>63</v>
      </c>
      <c r="AC9" s="83">
        <v>36</v>
      </c>
      <c r="AD9" s="83">
        <v>31</v>
      </c>
      <c r="AE9" s="83">
        <v>0</v>
      </c>
      <c r="AF9" s="83">
        <v>0</v>
      </c>
      <c r="AG9" s="83">
        <v>17</v>
      </c>
    </row>
    <row r="10" spans="1:33">
      <c r="A10" s="12" t="s">
        <v>411</v>
      </c>
      <c r="B10" s="83">
        <v>103</v>
      </c>
      <c r="C10" s="83">
        <v>0</v>
      </c>
      <c r="D10" s="83">
        <v>0</v>
      </c>
      <c r="E10" s="83">
        <v>5</v>
      </c>
      <c r="F10" s="83">
        <v>8</v>
      </c>
      <c r="G10" s="83">
        <v>4</v>
      </c>
      <c r="H10" s="83">
        <v>2</v>
      </c>
      <c r="I10" s="83">
        <v>2</v>
      </c>
      <c r="J10" s="83">
        <v>0</v>
      </c>
      <c r="K10" s="83">
        <v>0</v>
      </c>
      <c r="L10" s="83">
        <v>9</v>
      </c>
      <c r="M10" s="83">
        <v>9</v>
      </c>
      <c r="N10" s="83">
        <v>4</v>
      </c>
      <c r="O10" s="83">
        <v>4</v>
      </c>
      <c r="P10" s="83">
        <v>8</v>
      </c>
      <c r="Q10" s="83">
        <v>0</v>
      </c>
      <c r="R10" s="83">
        <v>0</v>
      </c>
      <c r="S10" s="83">
        <v>3</v>
      </c>
      <c r="T10" s="83">
        <v>3</v>
      </c>
      <c r="U10" s="83">
        <v>5</v>
      </c>
      <c r="V10" s="83">
        <v>2</v>
      </c>
      <c r="W10" s="83">
        <v>4</v>
      </c>
      <c r="X10" s="83">
        <v>0</v>
      </c>
      <c r="Y10" s="83">
        <v>0</v>
      </c>
      <c r="Z10" s="83">
        <v>8</v>
      </c>
      <c r="AA10" s="83">
        <v>5</v>
      </c>
      <c r="AB10" s="83">
        <v>7</v>
      </c>
      <c r="AC10" s="83">
        <v>2</v>
      </c>
      <c r="AD10" s="83">
        <v>9</v>
      </c>
      <c r="AE10" s="83">
        <v>0</v>
      </c>
      <c r="AF10" s="83">
        <v>0</v>
      </c>
      <c r="AG10" s="83">
        <v>2</v>
      </c>
    </row>
    <row r="11" spans="1:33">
      <c r="A11" s="114" t="s">
        <v>412</v>
      </c>
      <c r="B11" s="84">
        <v>0</v>
      </c>
      <c r="C11" s="85">
        <v>0</v>
      </c>
      <c r="D11" s="85">
        <v>0</v>
      </c>
      <c r="E11" s="85">
        <v>0</v>
      </c>
      <c r="F11" s="85">
        <v>0</v>
      </c>
      <c r="G11" s="85">
        <v>0</v>
      </c>
      <c r="H11" s="85">
        <v>0</v>
      </c>
      <c r="I11" s="85">
        <v>0</v>
      </c>
      <c r="J11" s="85">
        <v>0</v>
      </c>
      <c r="K11" s="85">
        <v>0</v>
      </c>
      <c r="L11" s="85">
        <v>0</v>
      </c>
      <c r="M11" s="85">
        <v>0</v>
      </c>
      <c r="N11" s="85">
        <v>0</v>
      </c>
      <c r="O11" s="85">
        <v>0</v>
      </c>
      <c r="P11" s="85">
        <v>0</v>
      </c>
      <c r="Q11" s="85">
        <v>0</v>
      </c>
      <c r="R11" s="85">
        <v>0</v>
      </c>
      <c r="S11" s="85">
        <v>0</v>
      </c>
      <c r="T11" s="85">
        <v>0</v>
      </c>
      <c r="U11" s="85">
        <v>0</v>
      </c>
      <c r="V11" s="85">
        <v>0</v>
      </c>
      <c r="W11" s="85">
        <v>0</v>
      </c>
      <c r="X11" s="85">
        <v>0</v>
      </c>
      <c r="Y11" s="85">
        <v>0</v>
      </c>
      <c r="Z11" s="85">
        <v>0</v>
      </c>
      <c r="AA11" s="85">
        <v>0</v>
      </c>
      <c r="AB11" s="85">
        <v>0</v>
      </c>
      <c r="AC11" s="85">
        <v>0</v>
      </c>
      <c r="AD11" s="85">
        <v>0</v>
      </c>
      <c r="AE11" s="85">
        <v>0</v>
      </c>
      <c r="AF11" s="85">
        <v>0</v>
      </c>
      <c r="AG11" s="85">
        <v>0</v>
      </c>
    </row>
    <row r="12" spans="1:33">
      <c r="A12" s="12" t="s">
        <v>413</v>
      </c>
      <c r="B12" s="83">
        <v>230</v>
      </c>
      <c r="C12" s="83">
        <v>0</v>
      </c>
      <c r="D12" s="83">
        <v>0</v>
      </c>
      <c r="E12" s="83">
        <v>31</v>
      </c>
      <c r="F12" s="83">
        <v>9</v>
      </c>
      <c r="G12" s="83">
        <v>12</v>
      </c>
      <c r="H12" s="83">
        <v>13</v>
      </c>
      <c r="I12" s="83">
        <v>20</v>
      </c>
      <c r="J12" s="83">
        <v>0</v>
      </c>
      <c r="K12" s="83">
        <v>0</v>
      </c>
      <c r="L12" s="83">
        <v>11</v>
      </c>
      <c r="M12" s="83">
        <v>14</v>
      </c>
      <c r="N12" s="83">
        <v>9</v>
      </c>
      <c r="O12" s="83">
        <v>5</v>
      </c>
      <c r="P12" s="83">
        <v>10</v>
      </c>
      <c r="Q12" s="83">
        <v>0</v>
      </c>
      <c r="R12" s="83">
        <v>0</v>
      </c>
      <c r="S12" s="83">
        <v>18</v>
      </c>
      <c r="T12" s="83">
        <v>4</v>
      </c>
      <c r="U12" s="83">
        <v>0</v>
      </c>
      <c r="V12" s="83">
        <v>12</v>
      </c>
      <c r="W12" s="83">
        <v>29</v>
      </c>
      <c r="X12" s="83">
        <v>0</v>
      </c>
      <c r="Y12" s="83">
        <v>0</v>
      </c>
      <c r="Z12" s="83">
        <v>15</v>
      </c>
      <c r="AA12" s="83">
        <v>5</v>
      </c>
      <c r="AB12" s="83">
        <v>4</v>
      </c>
      <c r="AC12" s="83">
        <v>3</v>
      </c>
      <c r="AD12" s="83">
        <v>6</v>
      </c>
      <c r="AE12" s="83">
        <v>0</v>
      </c>
      <c r="AF12" s="83">
        <v>0</v>
      </c>
      <c r="AG12" s="83">
        <v>12</v>
      </c>
    </row>
    <row r="13" spans="1:33">
      <c r="A13" s="115" t="s">
        <v>414</v>
      </c>
      <c r="B13" s="86">
        <v>0</v>
      </c>
      <c r="C13" s="70">
        <v>0</v>
      </c>
      <c r="D13" s="70">
        <v>0</v>
      </c>
      <c r="E13" s="70">
        <v>0</v>
      </c>
      <c r="F13" s="70">
        <v>0</v>
      </c>
      <c r="G13" s="70">
        <v>0</v>
      </c>
      <c r="H13" s="70">
        <v>0</v>
      </c>
      <c r="I13" s="70">
        <v>0</v>
      </c>
      <c r="J13" s="70">
        <v>0</v>
      </c>
      <c r="K13" s="70">
        <v>0</v>
      </c>
      <c r="L13" s="70">
        <v>0</v>
      </c>
      <c r="M13" s="70">
        <v>0</v>
      </c>
      <c r="N13" s="70">
        <v>0</v>
      </c>
      <c r="O13" s="70">
        <v>0</v>
      </c>
      <c r="P13" s="70">
        <v>0</v>
      </c>
      <c r="Q13" s="70">
        <v>0</v>
      </c>
      <c r="R13" s="70">
        <v>0</v>
      </c>
      <c r="S13" s="70">
        <v>0</v>
      </c>
      <c r="T13" s="70">
        <v>0</v>
      </c>
      <c r="U13" s="70">
        <v>0</v>
      </c>
      <c r="V13" s="70">
        <v>0</v>
      </c>
      <c r="W13" s="70">
        <v>0</v>
      </c>
      <c r="X13" s="70">
        <v>0</v>
      </c>
      <c r="Y13" s="70">
        <v>0</v>
      </c>
      <c r="Z13" s="70">
        <v>0</v>
      </c>
      <c r="AA13" s="70">
        <v>0</v>
      </c>
      <c r="AB13" s="70">
        <v>0</v>
      </c>
      <c r="AC13" s="70">
        <v>0</v>
      </c>
      <c r="AD13" s="70">
        <v>0</v>
      </c>
      <c r="AE13" s="70">
        <v>0</v>
      </c>
      <c r="AF13" s="70">
        <v>0</v>
      </c>
      <c r="AG13" s="70">
        <v>0</v>
      </c>
    </row>
    <row r="14" spans="1:33">
      <c r="A14" s="115" t="s">
        <v>415</v>
      </c>
      <c r="B14" s="86">
        <v>0</v>
      </c>
      <c r="C14" s="70">
        <v>0</v>
      </c>
      <c r="D14" s="70">
        <v>0</v>
      </c>
      <c r="E14" s="70">
        <v>0</v>
      </c>
      <c r="F14" s="70">
        <v>0</v>
      </c>
      <c r="G14" s="70">
        <v>0</v>
      </c>
      <c r="H14" s="70">
        <v>0</v>
      </c>
      <c r="I14" s="70">
        <v>0</v>
      </c>
      <c r="J14" s="70">
        <v>0</v>
      </c>
      <c r="K14" s="70">
        <v>0</v>
      </c>
      <c r="L14" s="70">
        <v>0</v>
      </c>
      <c r="M14" s="70">
        <v>0</v>
      </c>
      <c r="N14" s="70">
        <v>0</v>
      </c>
      <c r="O14" s="70">
        <v>0</v>
      </c>
      <c r="P14" s="70">
        <v>0</v>
      </c>
      <c r="Q14" s="70">
        <v>0</v>
      </c>
      <c r="R14" s="70">
        <v>0</v>
      </c>
      <c r="S14" s="70">
        <v>0</v>
      </c>
      <c r="T14" s="70">
        <v>0</v>
      </c>
      <c r="U14" s="70">
        <v>0</v>
      </c>
      <c r="V14" s="70">
        <v>0</v>
      </c>
      <c r="W14" s="70">
        <v>0</v>
      </c>
      <c r="X14" s="70">
        <v>0</v>
      </c>
      <c r="Y14" s="70">
        <v>0</v>
      </c>
      <c r="Z14" s="70">
        <v>0</v>
      </c>
      <c r="AA14" s="70">
        <v>0</v>
      </c>
      <c r="AB14" s="70">
        <v>0</v>
      </c>
      <c r="AC14" s="70">
        <v>0</v>
      </c>
      <c r="AD14" s="70">
        <v>0</v>
      </c>
      <c r="AE14" s="70">
        <v>0</v>
      </c>
      <c r="AF14" s="70">
        <v>0</v>
      </c>
      <c r="AG14" s="70">
        <v>0</v>
      </c>
    </row>
    <row r="15" spans="1:33">
      <c r="A15" s="115" t="s">
        <v>416</v>
      </c>
      <c r="B15" s="86">
        <v>0</v>
      </c>
      <c r="C15" s="70">
        <v>0</v>
      </c>
      <c r="D15" s="70">
        <v>0</v>
      </c>
      <c r="E15" s="70">
        <v>0</v>
      </c>
      <c r="F15" s="70">
        <v>0</v>
      </c>
      <c r="G15" s="70">
        <v>0</v>
      </c>
      <c r="H15" s="70">
        <v>0</v>
      </c>
      <c r="I15" s="70">
        <v>0</v>
      </c>
      <c r="J15" s="70">
        <v>0</v>
      </c>
      <c r="K15" s="70">
        <v>0</v>
      </c>
      <c r="L15" s="70">
        <v>0</v>
      </c>
      <c r="M15" s="70">
        <v>0</v>
      </c>
      <c r="N15" s="70">
        <v>0</v>
      </c>
      <c r="O15" s="70">
        <v>0</v>
      </c>
      <c r="P15" s="70">
        <v>0</v>
      </c>
      <c r="Q15" s="70">
        <v>0</v>
      </c>
      <c r="R15" s="70">
        <v>0</v>
      </c>
      <c r="S15" s="70">
        <v>0</v>
      </c>
      <c r="T15" s="70">
        <v>0</v>
      </c>
      <c r="U15" s="70">
        <v>0</v>
      </c>
      <c r="V15" s="70">
        <v>0</v>
      </c>
      <c r="W15" s="70">
        <v>0</v>
      </c>
      <c r="X15" s="70">
        <v>0</v>
      </c>
      <c r="Y15" s="70">
        <v>0</v>
      </c>
      <c r="Z15" s="70">
        <v>0</v>
      </c>
      <c r="AA15" s="70">
        <v>0</v>
      </c>
      <c r="AB15" s="70">
        <v>0</v>
      </c>
      <c r="AC15" s="70">
        <v>0</v>
      </c>
      <c r="AD15" s="70">
        <v>0</v>
      </c>
      <c r="AE15" s="70">
        <v>0</v>
      </c>
      <c r="AF15" s="70">
        <v>0</v>
      </c>
      <c r="AG15" s="70">
        <v>0</v>
      </c>
    </row>
    <row r="16" spans="1:33">
      <c r="A16" s="114" t="s">
        <v>417</v>
      </c>
      <c r="B16" s="87">
        <v>1</v>
      </c>
      <c r="C16" s="88" t="s">
        <v>418</v>
      </c>
      <c r="D16" s="88" t="s">
        <v>418</v>
      </c>
      <c r="E16" s="88">
        <v>1</v>
      </c>
      <c r="F16" s="88">
        <v>1</v>
      </c>
      <c r="G16" s="88">
        <v>1</v>
      </c>
      <c r="H16" s="88">
        <v>1</v>
      </c>
      <c r="I16" s="88">
        <v>1</v>
      </c>
      <c r="J16" s="88" t="s">
        <v>418</v>
      </c>
      <c r="K16" s="88" t="s">
        <v>418</v>
      </c>
      <c r="L16" s="88">
        <v>1</v>
      </c>
      <c r="M16" s="88">
        <v>1</v>
      </c>
      <c r="N16" s="88">
        <v>1</v>
      </c>
      <c r="O16" s="88">
        <v>1</v>
      </c>
      <c r="P16" s="88">
        <v>1</v>
      </c>
      <c r="Q16" s="88" t="s">
        <v>418</v>
      </c>
      <c r="R16" s="88" t="s">
        <v>418</v>
      </c>
      <c r="S16" s="88">
        <v>1</v>
      </c>
      <c r="T16" s="88">
        <v>1</v>
      </c>
      <c r="U16" s="88">
        <v>1</v>
      </c>
      <c r="V16" s="88">
        <v>1</v>
      </c>
      <c r="W16" s="88">
        <v>1</v>
      </c>
      <c r="X16" s="88" t="s">
        <v>418</v>
      </c>
      <c r="Y16" s="88" t="s">
        <v>418</v>
      </c>
      <c r="Z16" s="88">
        <v>1</v>
      </c>
      <c r="AA16" s="88">
        <v>1</v>
      </c>
      <c r="AB16" s="88">
        <v>1</v>
      </c>
      <c r="AC16" s="88">
        <v>1</v>
      </c>
      <c r="AD16" s="88">
        <v>1</v>
      </c>
      <c r="AE16" s="88" t="s">
        <v>418</v>
      </c>
      <c r="AF16" s="88" t="s">
        <v>418</v>
      </c>
      <c r="AG16" s="88">
        <v>1</v>
      </c>
    </row>
    <row r="18" spans="1:33" ht="18.75">
      <c r="A18" s="435" t="s">
        <v>419</v>
      </c>
      <c r="B18" s="435"/>
      <c r="C18" s="435"/>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row>
    <row r="19" spans="1:33">
      <c r="A19" s="111" t="s">
        <v>87</v>
      </c>
      <c r="B19" s="112" t="s">
        <v>13</v>
      </c>
      <c r="C19" s="113">
        <v>45444</v>
      </c>
      <c r="D19" s="113">
        <v>45445</v>
      </c>
      <c r="E19" s="113">
        <v>45446</v>
      </c>
      <c r="F19" s="113">
        <v>45447</v>
      </c>
      <c r="G19" s="113">
        <v>45448</v>
      </c>
      <c r="H19" s="113">
        <v>45449</v>
      </c>
      <c r="I19" s="113">
        <v>45450</v>
      </c>
      <c r="J19" s="113">
        <v>45451</v>
      </c>
      <c r="K19" s="113">
        <v>45452</v>
      </c>
      <c r="L19" s="113">
        <v>45453</v>
      </c>
      <c r="M19" s="113">
        <v>45454</v>
      </c>
      <c r="N19" s="113">
        <v>45455</v>
      </c>
      <c r="O19" s="113">
        <v>45456</v>
      </c>
      <c r="P19" s="113">
        <v>45457</v>
      </c>
      <c r="Q19" s="113">
        <v>45458</v>
      </c>
      <c r="R19" s="113">
        <v>45459</v>
      </c>
      <c r="S19" s="113">
        <v>45460</v>
      </c>
      <c r="T19" s="113">
        <v>45461</v>
      </c>
      <c r="U19" s="113">
        <v>45462</v>
      </c>
      <c r="V19" s="113">
        <v>45463</v>
      </c>
      <c r="W19" s="113">
        <v>45464</v>
      </c>
      <c r="X19" s="113">
        <v>45465</v>
      </c>
      <c r="Y19" s="113">
        <v>45466</v>
      </c>
      <c r="Z19" s="113">
        <v>45467</v>
      </c>
      <c r="AA19" s="113">
        <v>45468</v>
      </c>
      <c r="AB19" s="113">
        <v>45469</v>
      </c>
      <c r="AC19" s="113">
        <v>45470</v>
      </c>
      <c r="AD19" s="113">
        <v>45471</v>
      </c>
      <c r="AE19" s="113">
        <v>45472</v>
      </c>
      <c r="AF19" s="113">
        <v>45473</v>
      </c>
      <c r="AG19" s="113">
        <v>45443</v>
      </c>
    </row>
    <row r="20" spans="1:33">
      <c r="A20" s="12" t="s">
        <v>420</v>
      </c>
      <c r="B20" s="83">
        <v>52</v>
      </c>
      <c r="C20" s="83">
        <v>0</v>
      </c>
      <c r="D20" s="83">
        <v>0</v>
      </c>
      <c r="E20" s="83">
        <v>3</v>
      </c>
      <c r="F20" s="83">
        <v>0</v>
      </c>
      <c r="G20" s="83">
        <v>5</v>
      </c>
      <c r="H20" s="83">
        <v>0</v>
      </c>
      <c r="I20" s="83">
        <v>0</v>
      </c>
      <c r="J20" s="83">
        <v>0</v>
      </c>
      <c r="K20" s="83">
        <v>0</v>
      </c>
      <c r="L20" s="83">
        <v>0</v>
      </c>
      <c r="M20" s="83">
        <v>1</v>
      </c>
      <c r="N20" s="83">
        <v>0</v>
      </c>
      <c r="O20" s="83">
        <v>2</v>
      </c>
      <c r="P20" s="83">
        <v>3</v>
      </c>
      <c r="Q20" s="83">
        <v>0</v>
      </c>
      <c r="R20" s="83">
        <v>0</v>
      </c>
      <c r="S20" s="83">
        <v>2</v>
      </c>
      <c r="T20" s="83">
        <v>5</v>
      </c>
      <c r="U20" s="83">
        <v>2</v>
      </c>
      <c r="V20" s="83">
        <v>3</v>
      </c>
      <c r="W20" s="83">
        <v>13</v>
      </c>
      <c r="X20" s="83">
        <v>0</v>
      </c>
      <c r="Y20" s="83">
        <v>0</v>
      </c>
      <c r="Z20" s="83">
        <v>4</v>
      </c>
      <c r="AA20" s="83">
        <v>2</v>
      </c>
      <c r="AB20" s="83">
        <v>0</v>
      </c>
      <c r="AC20" s="83">
        <v>1</v>
      </c>
      <c r="AD20" s="83">
        <v>6</v>
      </c>
      <c r="AE20" s="83">
        <v>0</v>
      </c>
      <c r="AF20" s="83">
        <v>0</v>
      </c>
      <c r="AG20" s="83">
        <v>0</v>
      </c>
    </row>
    <row r="21" spans="1:33">
      <c r="A21" s="114" t="s">
        <v>9</v>
      </c>
      <c r="B21" s="84">
        <v>52</v>
      </c>
      <c r="C21" s="85">
        <v>0</v>
      </c>
      <c r="D21" s="85">
        <v>0</v>
      </c>
      <c r="E21" s="85">
        <v>3</v>
      </c>
      <c r="F21" s="85">
        <v>0</v>
      </c>
      <c r="G21" s="85">
        <v>5</v>
      </c>
      <c r="H21" s="85">
        <v>0</v>
      </c>
      <c r="I21" s="85">
        <v>0</v>
      </c>
      <c r="J21" s="85">
        <v>0</v>
      </c>
      <c r="K21" s="85">
        <v>0</v>
      </c>
      <c r="L21" s="85">
        <v>0</v>
      </c>
      <c r="M21" s="85">
        <v>1</v>
      </c>
      <c r="N21" s="85">
        <v>0</v>
      </c>
      <c r="O21" s="85">
        <v>2</v>
      </c>
      <c r="P21" s="85">
        <v>3</v>
      </c>
      <c r="Q21" s="85">
        <v>0</v>
      </c>
      <c r="R21" s="85">
        <v>0</v>
      </c>
      <c r="S21" s="85">
        <v>2</v>
      </c>
      <c r="T21" s="85">
        <v>5</v>
      </c>
      <c r="U21" s="85">
        <v>2</v>
      </c>
      <c r="V21" s="85">
        <v>3</v>
      </c>
      <c r="W21" s="85">
        <v>13</v>
      </c>
      <c r="X21" s="85">
        <v>0</v>
      </c>
      <c r="Y21" s="85">
        <v>0</v>
      </c>
      <c r="Z21" s="85">
        <v>4</v>
      </c>
      <c r="AA21" s="85">
        <v>2</v>
      </c>
      <c r="AB21" s="85">
        <v>0</v>
      </c>
      <c r="AC21" s="85">
        <v>1</v>
      </c>
      <c r="AD21" s="85">
        <v>6</v>
      </c>
      <c r="AE21" s="85">
        <v>0</v>
      </c>
      <c r="AF21" s="85">
        <v>0</v>
      </c>
      <c r="AG21" s="85">
        <v>0</v>
      </c>
    </row>
    <row r="22" spans="1:33">
      <c r="A22" s="12" t="s">
        <v>421</v>
      </c>
      <c r="B22" s="83">
        <v>0</v>
      </c>
      <c r="C22" s="83">
        <v>0</v>
      </c>
      <c r="D22" s="83">
        <v>0</v>
      </c>
      <c r="E22" s="83">
        <v>0</v>
      </c>
      <c r="F22" s="83">
        <v>0</v>
      </c>
      <c r="G22" s="83">
        <v>0</v>
      </c>
      <c r="H22" s="83">
        <v>0</v>
      </c>
      <c r="I22" s="83">
        <v>0</v>
      </c>
      <c r="J22" s="83">
        <v>0</v>
      </c>
      <c r="K22" s="83">
        <v>0</v>
      </c>
      <c r="L22" s="83">
        <v>0</v>
      </c>
      <c r="M22" s="83">
        <v>0</v>
      </c>
      <c r="N22" s="83">
        <v>0</v>
      </c>
      <c r="O22" s="83">
        <v>0</v>
      </c>
      <c r="P22" s="83">
        <v>0</v>
      </c>
      <c r="Q22" s="83">
        <v>0</v>
      </c>
      <c r="R22" s="83">
        <v>0</v>
      </c>
      <c r="S22" s="83">
        <v>0</v>
      </c>
      <c r="T22" s="83">
        <v>0</v>
      </c>
      <c r="U22" s="83">
        <v>0</v>
      </c>
      <c r="V22" s="83">
        <v>0</v>
      </c>
      <c r="W22" s="83">
        <v>0</v>
      </c>
      <c r="X22" s="83">
        <v>0</v>
      </c>
      <c r="Y22" s="83">
        <v>0</v>
      </c>
      <c r="Z22" s="83">
        <v>0</v>
      </c>
      <c r="AA22" s="83">
        <v>0</v>
      </c>
      <c r="AB22" s="83">
        <v>0</v>
      </c>
      <c r="AC22" s="83">
        <v>0</v>
      </c>
      <c r="AD22" s="83">
        <v>0</v>
      </c>
      <c r="AE22" s="83">
        <v>0</v>
      </c>
      <c r="AF22" s="83">
        <v>0</v>
      </c>
      <c r="AG22" s="83">
        <v>0</v>
      </c>
    </row>
    <row r="23" spans="1:33">
      <c r="A23" s="12" t="s">
        <v>422</v>
      </c>
      <c r="B23" s="83">
        <v>1102</v>
      </c>
      <c r="C23" s="83">
        <v>0</v>
      </c>
      <c r="D23" s="83">
        <v>0</v>
      </c>
      <c r="E23" s="83">
        <v>55</v>
      </c>
      <c r="F23" s="83">
        <v>52</v>
      </c>
      <c r="G23" s="83">
        <v>43</v>
      </c>
      <c r="H23" s="83">
        <v>56</v>
      </c>
      <c r="I23" s="83">
        <v>37</v>
      </c>
      <c r="J23" s="83">
        <v>0</v>
      </c>
      <c r="K23" s="83">
        <v>0</v>
      </c>
      <c r="L23" s="83">
        <v>62</v>
      </c>
      <c r="M23" s="83">
        <v>55</v>
      </c>
      <c r="N23" s="83">
        <v>60</v>
      </c>
      <c r="O23" s="83">
        <v>94</v>
      </c>
      <c r="P23" s="83">
        <v>41</v>
      </c>
      <c r="Q23" s="83">
        <v>0</v>
      </c>
      <c r="R23" s="83">
        <v>0</v>
      </c>
      <c r="S23" s="83">
        <v>53</v>
      </c>
      <c r="T23" s="83">
        <v>73</v>
      </c>
      <c r="U23" s="83">
        <v>37</v>
      </c>
      <c r="V23" s="83">
        <v>33</v>
      </c>
      <c r="W23" s="83">
        <v>121</v>
      </c>
      <c r="X23" s="83">
        <v>0</v>
      </c>
      <c r="Y23" s="83">
        <v>0</v>
      </c>
      <c r="Z23" s="83">
        <v>55</v>
      </c>
      <c r="AA23" s="83">
        <v>48</v>
      </c>
      <c r="AB23" s="83">
        <v>10</v>
      </c>
      <c r="AC23" s="83">
        <v>66</v>
      </c>
      <c r="AD23" s="83">
        <v>51</v>
      </c>
      <c r="AE23" s="83">
        <v>0</v>
      </c>
      <c r="AF23" s="83">
        <v>0</v>
      </c>
      <c r="AG23" s="83">
        <v>54</v>
      </c>
    </row>
    <row r="24" spans="1:33">
      <c r="A24" s="12" t="s">
        <v>25</v>
      </c>
      <c r="B24" s="83">
        <v>1050</v>
      </c>
      <c r="C24" s="83">
        <v>0</v>
      </c>
      <c r="D24" s="83">
        <v>0</v>
      </c>
      <c r="E24" s="83">
        <v>50</v>
      </c>
      <c r="F24" s="83">
        <v>52</v>
      </c>
      <c r="G24" s="83">
        <v>42</v>
      </c>
      <c r="H24" s="83">
        <v>56</v>
      </c>
      <c r="I24" s="83">
        <v>37</v>
      </c>
      <c r="J24" s="83">
        <v>0</v>
      </c>
      <c r="K24" s="83">
        <v>0</v>
      </c>
      <c r="L24" s="83">
        <v>62</v>
      </c>
      <c r="M24" s="83">
        <v>54</v>
      </c>
      <c r="N24" s="83">
        <v>60</v>
      </c>
      <c r="O24" s="83">
        <v>90</v>
      </c>
      <c r="P24" s="83">
        <v>37</v>
      </c>
      <c r="Q24" s="83">
        <v>0</v>
      </c>
      <c r="R24" s="83">
        <v>0</v>
      </c>
      <c r="S24" s="83">
        <v>50</v>
      </c>
      <c r="T24" s="83">
        <v>67</v>
      </c>
      <c r="U24" s="83">
        <v>36</v>
      </c>
      <c r="V24" s="83">
        <v>29</v>
      </c>
      <c r="W24" s="83">
        <v>110</v>
      </c>
      <c r="X24" s="83">
        <v>0</v>
      </c>
      <c r="Y24" s="83">
        <v>0</v>
      </c>
      <c r="Z24" s="83">
        <v>51</v>
      </c>
      <c r="AA24" s="83">
        <v>46</v>
      </c>
      <c r="AB24" s="83">
        <v>10</v>
      </c>
      <c r="AC24" s="83">
        <v>65</v>
      </c>
      <c r="AD24" s="83">
        <v>46</v>
      </c>
      <c r="AE24" s="83">
        <v>0</v>
      </c>
      <c r="AF24" s="83">
        <v>0</v>
      </c>
      <c r="AG24" s="83">
        <v>54</v>
      </c>
    </row>
    <row r="25" spans="1:33">
      <c r="A25" s="12" t="s">
        <v>423</v>
      </c>
      <c r="B25" s="83">
        <v>44</v>
      </c>
      <c r="C25" s="83">
        <v>0</v>
      </c>
      <c r="D25" s="83">
        <v>0</v>
      </c>
      <c r="E25" s="83">
        <v>5</v>
      </c>
      <c r="F25" s="83">
        <v>0</v>
      </c>
      <c r="G25" s="83">
        <v>1</v>
      </c>
      <c r="H25" s="83">
        <v>0</v>
      </c>
      <c r="I25" s="83">
        <v>0</v>
      </c>
      <c r="J25" s="83">
        <v>0</v>
      </c>
      <c r="K25" s="83">
        <v>0</v>
      </c>
      <c r="L25" s="83">
        <v>0</v>
      </c>
      <c r="M25" s="83">
        <v>1</v>
      </c>
      <c r="N25" s="83">
        <v>0</v>
      </c>
      <c r="O25" s="83">
        <v>4</v>
      </c>
      <c r="P25" s="83">
        <v>4</v>
      </c>
      <c r="Q25" s="83">
        <v>0</v>
      </c>
      <c r="R25" s="83">
        <v>0</v>
      </c>
      <c r="S25" s="83">
        <v>3</v>
      </c>
      <c r="T25" s="83">
        <v>6</v>
      </c>
      <c r="U25" s="83">
        <v>1</v>
      </c>
      <c r="V25" s="83">
        <v>4</v>
      </c>
      <c r="W25" s="83">
        <v>11</v>
      </c>
      <c r="X25" s="83">
        <v>0</v>
      </c>
      <c r="Y25" s="83">
        <v>0</v>
      </c>
      <c r="Z25" s="83">
        <v>2</v>
      </c>
      <c r="AA25" s="83">
        <v>2</v>
      </c>
      <c r="AB25" s="83">
        <v>0</v>
      </c>
      <c r="AC25" s="83">
        <v>0</v>
      </c>
      <c r="AD25" s="83">
        <v>0</v>
      </c>
      <c r="AE25" s="83">
        <v>0</v>
      </c>
      <c r="AF25" s="83">
        <v>0</v>
      </c>
      <c r="AG25" s="83">
        <v>0</v>
      </c>
    </row>
    <row r="26" spans="1:33">
      <c r="A26" s="12" t="s">
        <v>424</v>
      </c>
      <c r="B26" s="83">
        <v>0</v>
      </c>
      <c r="C26" s="83">
        <v>0</v>
      </c>
      <c r="D26" s="83">
        <v>0</v>
      </c>
      <c r="E26" s="83">
        <v>0</v>
      </c>
      <c r="F26" s="83">
        <v>0</v>
      </c>
      <c r="G26" s="83">
        <v>0</v>
      </c>
      <c r="H26" s="83">
        <v>0</v>
      </c>
      <c r="I26" s="83">
        <v>0</v>
      </c>
      <c r="J26" s="83">
        <v>0</v>
      </c>
      <c r="K26" s="83">
        <v>0</v>
      </c>
      <c r="L26" s="83">
        <v>0</v>
      </c>
      <c r="M26" s="83">
        <v>0</v>
      </c>
      <c r="N26" s="83">
        <v>0</v>
      </c>
      <c r="O26" s="83">
        <v>0</v>
      </c>
      <c r="P26" s="83">
        <v>0</v>
      </c>
      <c r="Q26" s="83">
        <v>0</v>
      </c>
      <c r="R26" s="83">
        <v>0</v>
      </c>
      <c r="S26" s="83">
        <v>0</v>
      </c>
      <c r="T26" s="83">
        <v>0</v>
      </c>
      <c r="U26" s="83">
        <v>0</v>
      </c>
      <c r="V26" s="83">
        <v>0</v>
      </c>
      <c r="W26" s="83">
        <v>0</v>
      </c>
      <c r="X26" s="83">
        <v>0</v>
      </c>
      <c r="Y26" s="83">
        <v>0</v>
      </c>
      <c r="Z26" s="83">
        <v>0</v>
      </c>
      <c r="AA26" s="83">
        <v>0</v>
      </c>
      <c r="AB26" s="83">
        <v>0</v>
      </c>
      <c r="AC26" s="83">
        <v>0</v>
      </c>
      <c r="AD26" s="83">
        <v>0</v>
      </c>
      <c r="AE26" s="83">
        <v>0</v>
      </c>
      <c r="AF26" s="83">
        <v>0</v>
      </c>
      <c r="AG26" s="83">
        <v>0</v>
      </c>
    </row>
    <row r="27" spans="1:33">
      <c r="A27" s="12" t="s">
        <v>425</v>
      </c>
      <c r="B27" s="83">
        <v>0</v>
      </c>
      <c r="C27" s="83">
        <v>0</v>
      </c>
      <c r="D27" s="83">
        <v>0</v>
      </c>
      <c r="E27" s="83">
        <v>0</v>
      </c>
      <c r="F27" s="83">
        <v>0</v>
      </c>
      <c r="G27" s="83">
        <v>0</v>
      </c>
      <c r="H27" s="83">
        <v>0</v>
      </c>
      <c r="I27" s="83">
        <v>0</v>
      </c>
      <c r="J27" s="83">
        <v>0</v>
      </c>
      <c r="K27" s="83">
        <v>0</v>
      </c>
      <c r="L27" s="83">
        <v>0</v>
      </c>
      <c r="M27" s="83">
        <v>0</v>
      </c>
      <c r="N27" s="83">
        <v>0</v>
      </c>
      <c r="O27" s="83">
        <v>0</v>
      </c>
      <c r="P27" s="83">
        <v>0</v>
      </c>
      <c r="Q27" s="83">
        <v>0</v>
      </c>
      <c r="R27" s="83">
        <v>0</v>
      </c>
      <c r="S27" s="83">
        <v>0</v>
      </c>
      <c r="T27" s="83">
        <v>0</v>
      </c>
      <c r="U27" s="83">
        <v>0</v>
      </c>
      <c r="V27" s="83">
        <v>0</v>
      </c>
      <c r="W27" s="83">
        <v>0</v>
      </c>
      <c r="X27" s="83">
        <v>0</v>
      </c>
      <c r="Y27" s="83">
        <v>0</v>
      </c>
      <c r="Z27" s="83">
        <v>0</v>
      </c>
      <c r="AA27" s="83">
        <v>0</v>
      </c>
      <c r="AB27" s="83">
        <v>0</v>
      </c>
      <c r="AC27" s="83">
        <v>0</v>
      </c>
      <c r="AD27" s="83">
        <v>0</v>
      </c>
      <c r="AE27" s="83">
        <v>0</v>
      </c>
      <c r="AF27" s="83">
        <v>0</v>
      </c>
      <c r="AG27" s="83">
        <v>0</v>
      </c>
    </row>
    <row r="28" spans="1:33">
      <c r="A28" s="114" t="s">
        <v>412</v>
      </c>
      <c r="B28" s="84">
        <v>8</v>
      </c>
      <c r="C28" s="85">
        <v>0</v>
      </c>
      <c r="D28" s="85">
        <v>0</v>
      </c>
      <c r="E28" s="85">
        <v>0</v>
      </c>
      <c r="F28" s="85">
        <v>0</v>
      </c>
      <c r="G28" s="85">
        <v>0</v>
      </c>
      <c r="H28" s="85">
        <v>0</v>
      </c>
      <c r="I28" s="85">
        <v>0</v>
      </c>
      <c r="J28" s="85">
        <v>0</v>
      </c>
      <c r="K28" s="85">
        <v>0</v>
      </c>
      <c r="L28" s="85">
        <v>0</v>
      </c>
      <c r="M28" s="85">
        <v>0</v>
      </c>
      <c r="N28" s="85">
        <v>0</v>
      </c>
      <c r="O28" s="85">
        <v>0</v>
      </c>
      <c r="P28" s="85">
        <v>0</v>
      </c>
      <c r="Q28" s="85">
        <v>0</v>
      </c>
      <c r="R28" s="85">
        <v>0</v>
      </c>
      <c r="S28" s="85">
        <v>0</v>
      </c>
      <c r="T28" s="85">
        <v>0</v>
      </c>
      <c r="U28" s="85">
        <v>0</v>
      </c>
      <c r="V28" s="85">
        <v>0</v>
      </c>
      <c r="W28" s="85">
        <v>0</v>
      </c>
      <c r="X28" s="85">
        <v>0</v>
      </c>
      <c r="Y28" s="85">
        <v>0</v>
      </c>
      <c r="Z28" s="85">
        <v>2</v>
      </c>
      <c r="AA28" s="85">
        <v>0</v>
      </c>
      <c r="AB28" s="85">
        <v>0</v>
      </c>
      <c r="AC28" s="85">
        <v>1</v>
      </c>
      <c r="AD28" s="85">
        <v>5</v>
      </c>
      <c r="AE28" s="85">
        <v>0</v>
      </c>
      <c r="AF28" s="85">
        <v>0</v>
      </c>
      <c r="AG28" s="85">
        <v>0</v>
      </c>
    </row>
    <row r="29" spans="1:33">
      <c r="A29" s="115" t="s">
        <v>414</v>
      </c>
      <c r="B29" s="86">
        <v>0</v>
      </c>
      <c r="C29" s="70">
        <v>0</v>
      </c>
      <c r="D29" s="70">
        <v>0</v>
      </c>
      <c r="E29" s="70">
        <v>0</v>
      </c>
      <c r="F29" s="70">
        <v>0</v>
      </c>
      <c r="G29" s="70">
        <v>0</v>
      </c>
      <c r="H29" s="70">
        <v>0</v>
      </c>
      <c r="I29" s="70">
        <v>0</v>
      </c>
      <c r="J29" s="70">
        <v>0</v>
      </c>
      <c r="K29" s="70">
        <v>0</v>
      </c>
      <c r="L29" s="70">
        <v>0</v>
      </c>
      <c r="M29" s="70">
        <v>0</v>
      </c>
      <c r="N29" s="70">
        <v>0</v>
      </c>
      <c r="O29" s="70">
        <v>0</v>
      </c>
      <c r="P29" s="70">
        <v>0</v>
      </c>
      <c r="Q29" s="70">
        <v>0</v>
      </c>
      <c r="R29" s="70">
        <v>0</v>
      </c>
      <c r="S29" s="70">
        <v>0</v>
      </c>
      <c r="T29" s="70">
        <v>0</v>
      </c>
      <c r="U29" s="70">
        <v>0</v>
      </c>
      <c r="V29" s="70">
        <v>0</v>
      </c>
      <c r="W29" s="70">
        <v>0</v>
      </c>
      <c r="X29" s="70">
        <v>0</v>
      </c>
      <c r="Y29" s="70">
        <v>0</v>
      </c>
      <c r="Z29" s="70">
        <v>0</v>
      </c>
      <c r="AA29" s="70">
        <v>0</v>
      </c>
      <c r="AB29" s="70">
        <v>0</v>
      </c>
      <c r="AC29" s="70">
        <v>0</v>
      </c>
      <c r="AD29" s="70">
        <v>0</v>
      </c>
      <c r="AE29" s="70">
        <v>0</v>
      </c>
      <c r="AF29" s="70">
        <v>0</v>
      </c>
      <c r="AG29" s="70">
        <v>0</v>
      </c>
    </row>
    <row r="30" spans="1:33">
      <c r="A30" s="115" t="s">
        <v>415</v>
      </c>
      <c r="B30" s="86">
        <v>0</v>
      </c>
      <c r="C30" s="70">
        <v>0</v>
      </c>
      <c r="D30" s="70">
        <v>0</v>
      </c>
      <c r="E30" s="70">
        <v>0</v>
      </c>
      <c r="F30" s="70">
        <v>0</v>
      </c>
      <c r="G30" s="70">
        <v>0</v>
      </c>
      <c r="H30" s="70">
        <v>0</v>
      </c>
      <c r="I30" s="70">
        <v>0</v>
      </c>
      <c r="J30" s="70">
        <v>0</v>
      </c>
      <c r="K30" s="70">
        <v>0</v>
      </c>
      <c r="L30" s="70">
        <v>0</v>
      </c>
      <c r="M30" s="70">
        <v>0</v>
      </c>
      <c r="N30" s="70">
        <v>0</v>
      </c>
      <c r="O30" s="70">
        <v>0</v>
      </c>
      <c r="P30" s="70">
        <v>0</v>
      </c>
      <c r="Q30" s="70">
        <v>0</v>
      </c>
      <c r="R30" s="70">
        <v>0</v>
      </c>
      <c r="S30" s="70">
        <v>0</v>
      </c>
      <c r="T30" s="70">
        <v>0</v>
      </c>
      <c r="U30" s="70">
        <v>0</v>
      </c>
      <c r="V30" s="70">
        <v>0</v>
      </c>
      <c r="W30" s="70">
        <v>0</v>
      </c>
      <c r="X30" s="70">
        <v>0</v>
      </c>
      <c r="Y30" s="70">
        <v>0</v>
      </c>
      <c r="Z30" s="70">
        <v>0</v>
      </c>
      <c r="AA30" s="70">
        <v>0</v>
      </c>
      <c r="AB30" s="70">
        <v>0</v>
      </c>
      <c r="AC30" s="70">
        <v>0</v>
      </c>
      <c r="AD30" s="70">
        <v>0</v>
      </c>
      <c r="AE30" s="70">
        <v>0</v>
      </c>
      <c r="AF30" s="70">
        <v>0</v>
      </c>
      <c r="AG30" s="70">
        <v>0</v>
      </c>
    </row>
    <row r="31" spans="1:33">
      <c r="A31" s="115" t="s">
        <v>416</v>
      </c>
      <c r="B31" s="86">
        <v>2</v>
      </c>
      <c r="C31" s="70">
        <v>0</v>
      </c>
      <c r="D31" s="70">
        <v>0</v>
      </c>
      <c r="E31" s="70">
        <v>0</v>
      </c>
      <c r="F31" s="70">
        <v>1</v>
      </c>
      <c r="G31" s="70">
        <v>0</v>
      </c>
      <c r="H31" s="70">
        <v>0</v>
      </c>
      <c r="I31" s="70">
        <v>0</v>
      </c>
      <c r="J31" s="70">
        <v>0</v>
      </c>
      <c r="K31" s="70">
        <v>0</v>
      </c>
      <c r="L31" s="70">
        <v>0</v>
      </c>
      <c r="M31" s="70">
        <v>0</v>
      </c>
      <c r="N31" s="70">
        <v>1</v>
      </c>
      <c r="O31" s="70">
        <v>0</v>
      </c>
      <c r="P31" s="70">
        <v>0</v>
      </c>
      <c r="Q31" s="70">
        <v>0</v>
      </c>
      <c r="R31" s="70">
        <v>0</v>
      </c>
      <c r="S31" s="70">
        <v>0</v>
      </c>
      <c r="T31" s="70">
        <v>0</v>
      </c>
      <c r="U31" s="70">
        <v>0</v>
      </c>
      <c r="V31" s="70">
        <v>0</v>
      </c>
      <c r="W31" s="70">
        <v>0</v>
      </c>
      <c r="X31" s="70">
        <v>0</v>
      </c>
      <c r="Y31" s="70">
        <v>0</v>
      </c>
      <c r="Z31" s="70">
        <v>0</v>
      </c>
      <c r="AA31" s="70">
        <v>0</v>
      </c>
      <c r="AB31" s="70">
        <v>0</v>
      </c>
      <c r="AC31" s="70">
        <v>0</v>
      </c>
      <c r="AD31" s="70">
        <v>0</v>
      </c>
      <c r="AE31" s="70">
        <v>0</v>
      </c>
      <c r="AF31" s="70">
        <v>0</v>
      </c>
      <c r="AG31" s="70">
        <v>0</v>
      </c>
    </row>
    <row r="32" spans="1:33">
      <c r="A32" s="114" t="s">
        <v>417</v>
      </c>
      <c r="B32" s="321">
        <v>0.9981718464351006</v>
      </c>
      <c r="C32" s="88" t="s">
        <v>418</v>
      </c>
      <c r="D32" s="88" t="s">
        <v>418</v>
      </c>
      <c r="E32" s="88">
        <v>1</v>
      </c>
      <c r="F32" s="88">
        <v>0.98076923076923073</v>
      </c>
      <c r="G32" s="88">
        <v>1</v>
      </c>
      <c r="H32" s="88">
        <v>1</v>
      </c>
      <c r="I32" s="88">
        <v>1</v>
      </c>
      <c r="J32" s="88" t="s">
        <v>418</v>
      </c>
      <c r="K32" s="88" t="s">
        <v>418</v>
      </c>
      <c r="L32" s="88">
        <v>1</v>
      </c>
      <c r="M32" s="88">
        <v>1</v>
      </c>
      <c r="N32" s="88">
        <v>0.98333333333333328</v>
      </c>
      <c r="O32" s="88">
        <v>1</v>
      </c>
      <c r="P32" s="88">
        <v>1</v>
      </c>
      <c r="Q32" s="88" t="s">
        <v>418</v>
      </c>
      <c r="R32" s="88" t="s">
        <v>418</v>
      </c>
      <c r="S32" s="88">
        <v>1</v>
      </c>
      <c r="T32" s="88">
        <v>1</v>
      </c>
      <c r="U32" s="88">
        <v>1</v>
      </c>
      <c r="V32" s="88">
        <v>1</v>
      </c>
      <c r="W32" s="88">
        <v>1</v>
      </c>
      <c r="X32" s="88" t="s">
        <v>418</v>
      </c>
      <c r="Y32" s="88" t="s">
        <v>418</v>
      </c>
      <c r="Z32" s="88">
        <v>1</v>
      </c>
      <c r="AA32" s="88">
        <v>1</v>
      </c>
      <c r="AB32" s="88">
        <v>1</v>
      </c>
      <c r="AC32" s="88">
        <v>1</v>
      </c>
      <c r="AD32" s="88">
        <v>1</v>
      </c>
      <c r="AE32" s="88" t="s">
        <v>418</v>
      </c>
      <c r="AF32" s="88" t="s">
        <v>418</v>
      </c>
      <c r="AG32" s="88">
        <v>1</v>
      </c>
    </row>
    <row r="34" spans="1:33" ht="18.75">
      <c r="A34" s="435" t="s">
        <v>426</v>
      </c>
      <c r="B34" s="435"/>
      <c r="C34" s="435"/>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row>
    <row r="35" spans="1:33">
      <c r="A35" s="111" t="s">
        <v>87</v>
      </c>
      <c r="B35" s="112" t="s">
        <v>13</v>
      </c>
      <c r="C35" s="113">
        <v>45444</v>
      </c>
      <c r="D35" s="113">
        <v>45445</v>
      </c>
      <c r="E35" s="113">
        <v>45446</v>
      </c>
      <c r="F35" s="113">
        <v>45447</v>
      </c>
      <c r="G35" s="113">
        <v>45448</v>
      </c>
      <c r="H35" s="113">
        <v>45449</v>
      </c>
      <c r="I35" s="113">
        <v>45450</v>
      </c>
      <c r="J35" s="113">
        <v>45451</v>
      </c>
      <c r="K35" s="113">
        <v>45452</v>
      </c>
      <c r="L35" s="113">
        <v>45453</v>
      </c>
      <c r="M35" s="113">
        <v>45454</v>
      </c>
      <c r="N35" s="113">
        <v>45455</v>
      </c>
      <c r="O35" s="113">
        <v>45456</v>
      </c>
      <c r="P35" s="113">
        <v>45457</v>
      </c>
      <c r="Q35" s="113">
        <v>45458</v>
      </c>
      <c r="R35" s="113">
        <v>45459</v>
      </c>
      <c r="S35" s="113">
        <v>45460</v>
      </c>
      <c r="T35" s="113">
        <v>45461</v>
      </c>
      <c r="U35" s="113">
        <v>45462</v>
      </c>
      <c r="V35" s="113">
        <v>45463</v>
      </c>
      <c r="W35" s="113">
        <v>45464</v>
      </c>
      <c r="X35" s="113">
        <v>45465</v>
      </c>
      <c r="Y35" s="113">
        <v>45466</v>
      </c>
      <c r="Z35" s="113">
        <v>45467</v>
      </c>
      <c r="AA35" s="113">
        <v>45468</v>
      </c>
      <c r="AB35" s="113">
        <v>45469</v>
      </c>
      <c r="AC35" s="113">
        <v>45470</v>
      </c>
      <c r="AD35" s="113">
        <v>45471</v>
      </c>
      <c r="AE35" s="113">
        <v>45472</v>
      </c>
      <c r="AF35" s="113">
        <v>45473</v>
      </c>
      <c r="AG35" s="82">
        <v>45442</v>
      </c>
    </row>
    <row r="36" spans="1:33">
      <c r="A36" s="12" t="s">
        <v>427</v>
      </c>
      <c r="B36" s="83">
        <v>0</v>
      </c>
      <c r="C36" s="83">
        <v>0</v>
      </c>
      <c r="D36" s="83">
        <v>0</v>
      </c>
      <c r="E36" s="83">
        <v>0</v>
      </c>
      <c r="F36" s="83">
        <v>0</v>
      </c>
      <c r="G36" s="83">
        <v>0</v>
      </c>
      <c r="H36" s="83">
        <v>0</v>
      </c>
      <c r="I36" s="83">
        <v>0</v>
      </c>
      <c r="J36" s="83">
        <v>0</v>
      </c>
      <c r="K36" s="83">
        <v>0</v>
      </c>
      <c r="L36" s="83">
        <v>0</v>
      </c>
      <c r="M36" s="83">
        <v>0</v>
      </c>
      <c r="N36" s="83">
        <v>0</v>
      </c>
      <c r="O36" s="83">
        <v>0</v>
      </c>
      <c r="P36" s="83">
        <v>0</v>
      </c>
      <c r="Q36" s="83">
        <v>0</v>
      </c>
      <c r="R36" s="83">
        <v>0</v>
      </c>
      <c r="S36" s="83">
        <v>0</v>
      </c>
      <c r="T36" s="83">
        <v>0</v>
      </c>
      <c r="U36" s="83">
        <v>0</v>
      </c>
      <c r="V36" s="83">
        <v>0</v>
      </c>
      <c r="W36" s="83">
        <v>0</v>
      </c>
      <c r="X36" s="83">
        <v>0</v>
      </c>
      <c r="Y36" s="83">
        <v>0</v>
      </c>
      <c r="Z36" s="83">
        <v>0</v>
      </c>
      <c r="AA36" s="83">
        <v>0</v>
      </c>
      <c r="AB36" s="83">
        <v>0</v>
      </c>
      <c r="AC36" s="83">
        <v>0</v>
      </c>
      <c r="AD36" s="83">
        <v>0</v>
      </c>
      <c r="AE36" s="83">
        <v>0</v>
      </c>
      <c r="AF36" s="83">
        <v>0</v>
      </c>
      <c r="AG36" s="83">
        <v>0</v>
      </c>
    </row>
    <row r="37" spans="1:33">
      <c r="A37" s="12" t="s">
        <v>428</v>
      </c>
      <c r="B37" s="83">
        <v>90</v>
      </c>
      <c r="C37" s="83">
        <v>0</v>
      </c>
      <c r="D37" s="83">
        <v>0</v>
      </c>
      <c r="E37" s="83">
        <v>4</v>
      </c>
      <c r="F37" s="83">
        <v>3</v>
      </c>
      <c r="G37" s="83">
        <v>5</v>
      </c>
      <c r="H37" s="83">
        <v>7</v>
      </c>
      <c r="I37" s="83">
        <v>5</v>
      </c>
      <c r="J37" s="83">
        <v>0</v>
      </c>
      <c r="K37" s="83">
        <v>0</v>
      </c>
      <c r="L37" s="83">
        <v>4</v>
      </c>
      <c r="M37" s="83">
        <v>6</v>
      </c>
      <c r="N37" s="83">
        <v>1</v>
      </c>
      <c r="O37" s="83">
        <v>6</v>
      </c>
      <c r="P37" s="83">
        <v>4</v>
      </c>
      <c r="Q37" s="83">
        <v>0</v>
      </c>
      <c r="R37" s="83">
        <v>0</v>
      </c>
      <c r="S37" s="83">
        <v>5</v>
      </c>
      <c r="T37" s="83">
        <v>7</v>
      </c>
      <c r="U37" s="83">
        <v>5</v>
      </c>
      <c r="V37" s="83">
        <v>3</v>
      </c>
      <c r="W37" s="83">
        <v>2</v>
      </c>
      <c r="X37" s="83">
        <v>0</v>
      </c>
      <c r="Y37" s="83">
        <v>0</v>
      </c>
      <c r="Z37" s="83">
        <v>3</v>
      </c>
      <c r="AA37" s="83">
        <v>7</v>
      </c>
      <c r="AB37" s="83">
        <v>6</v>
      </c>
      <c r="AC37" s="83">
        <v>4</v>
      </c>
      <c r="AD37" s="83">
        <v>3</v>
      </c>
      <c r="AE37" s="83">
        <v>0</v>
      </c>
      <c r="AF37" s="83">
        <v>0</v>
      </c>
      <c r="AG37" s="83">
        <v>14</v>
      </c>
    </row>
    <row r="38" spans="1:33">
      <c r="A38" s="12" t="s">
        <v>73</v>
      </c>
      <c r="B38" s="83">
        <v>85</v>
      </c>
      <c r="C38" s="83">
        <v>0</v>
      </c>
      <c r="D38" s="83">
        <v>0</v>
      </c>
      <c r="E38" s="83">
        <v>4</v>
      </c>
      <c r="F38" s="83">
        <v>3</v>
      </c>
      <c r="G38" s="83">
        <v>5</v>
      </c>
      <c r="H38" s="83">
        <v>6</v>
      </c>
      <c r="I38" s="83">
        <v>5</v>
      </c>
      <c r="J38" s="83">
        <v>0</v>
      </c>
      <c r="K38" s="83">
        <v>0</v>
      </c>
      <c r="L38" s="83">
        <v>4</v>
      </c>
      <c r="M38" s="83">
        <v>6</v>
      </c>
      <c r="N38" s="83">
        <v>1</v>
      </c>
      <c r="O38" s="83">
        <v>4</v>
      </c>
      <c r="P38" s="83">
        <v>4</v>
      </c>
      <c r="Q38" s="83">
        <v>0</v>
      </c>
      <c r="R38" s="83">
        <v>0</v>
      </c>
      <c r="S38" s="83">
        <v>5</v>
      </c>
      <c r="T38" s="83">
        <v>6</v>
      </c>
      <c r="U38" s="83">
        <v>5</v>
      </c>
      <c r="V38" s="83">
        <v>3</v>
      </c>
      <c r="W38" s="83">
        <v>2</v>
      </c>
      <c r="X38" s="83">
        <v>0</v>
      </c>
      <c r="Y38" s="83">
        <v>0</v>
      </c>
      <c r="Z38" s="83">
        <v>3</v>
      </c>
      <c r="AA38" s="83">
        <v>7</v>
      </c>
      <c r="AB38" s="83">
        <v>6</v>
      </c>
      <c r="AC38" s="83">
        <v>3</v>
      </c>
      <c r="AD38" s="83">
        <v>3</v>
      </c>
      <c r="AE38" s="83">
        <v>0</v>
      </c>
      <c r="AF38" s="83">
        <v>0</v>
      </c>
      <c r="AG38" s="83">
        <v>10</v>
      </c>
    </row>
    <row r="39" spans="1:33">
      <c r="A39" s="12" t="s">
        <v>429</v>
      </c>
      <c r="B39" s="83">
        <v>5</v>
      </c>
      <c r="C39" s="83">
        <v>0</v>
      </c>
      <c r="D39" s="83">
        <v>0</v>
      </c>
      <c r="E39" s="83">
        <v>0</v>
      </c>
      <c r="F39" s="83">
        <v>0</v>
      </c>
      <c r="G39" s="83">
        <v>0</v>
      </c>
      <c r="H39" s="83">
        <v>1</v>
      </c>
      <c r="I39" s="83">
        <v>0</v>
      </c>
      <c r="J39" s="83">
        <v>0</v>
      </c>
      <c r="K39" s="83">
        <v>0</v>
      </c>
      <c r="L39" s="83">
        <v>0</v>
      </c>
      <c r="M39" s="83">
        <v>0</v>
      </c>
      <c r="N39" s="83">
        <v>0</v>
      </c>
      <c r="O39" s="83">
        <v>2</v>
      </c>
      <c r="P39" s="83">
        <v>0</v>
      </c>
      <c r="Q39" s="83">
        <v>0</v>
      </c>
      <c r="R39" s="83">
        <v>0</v>
      </c>
      <c r="S39" s="83">
        <v>0</v>
      </c>
      <c r="T39" s="83">
        <v>1</v>
      </c>
      <c r="U39" s="83">
        <v>0</v>
      </c>
      <c r="V39" s="83">
        <v>0</v>
      </c>
      <c r="W39" s="83">
        <v>0</v>
      </c>
      <c r="X39" s="83">
        <v>0</v>
      </c>
      <c r="Y39" s="83">
        <v>0</v>
      </c>
      <c r="Z39" s="83">
        <v>0</v>
      </c>
      <c r="AA39" s="83">
        <v>0</v>
      </c>
      <c r="AB39" s="83">
        <v>0</v>
      </c>
      <c r="AC39" s="83">
        <v>1</v>
      </c>
      <c r="AD39" s="83">
        <v>0</v>
      </c>
      <c r="AE39" s="83">
        <v>0</v>
      </c>
      <c r="AF39" s="83">
        <v>0</v>
      </c>
      <c r="AG39" s="83">
        <v>4</v>
      </c>
    </row>
    <row r="40" spans="1:33">
      <c r="A40" s="114" t="s">
        <v>430</v>
      </c>
      <c r="B40" s="84">
        <v>0</v>
      </c>
      <c r="C40" s="85">
        <v>0</v>
      </c>
      <c r="D40" s="85">
        <v>0</v>
      </c>
      <c r="E40" s="85">
        <v>0</v>
      </c>
      <c r="F40" s="85">
        <v>0</v>
      </c>
      <c r="G40" s="85">
        <v>0</v>
      </c>
      <c r="H40" s="85">
        <v>0</v>
      </c>
      <c r="I40" s="85">
        <v>0</v>
      </c>
      <c r="J40" s="85">
        <v>0</v>
      </c>
      <c r="K40" s="85">
        <v>0</v>
      </c>
      <c r="L40" s="85">
        <v>0</v>
      </c>
      <c r="M40" s="85">
        <v>0</v>
      </c>
      <c r="N40" s="85">
        <v>0</v>
      </c>
      <c r="O40" s="85">
        <v>0</v>
      </c>
      <c r="P40" s="85">
        <v>0</v>
      </c>
      <c r="Q40" s="85">
        <v>0</v>
      </c>
      <c r="R40" s="85">
        <v>0</v>
      </c>
      <c r="S40" s="85">
        <v>0</v>
      </c>
      <c r="T40" s="85">
        <v>0</v>
      </c>
      <c r="U40" s="85">
        <v>0</v>
      </c>
      <c r="V40" s="85">
        <v>0</v>
      </c>
      <c r="W40" s="85">
        <v>0</v>
      </c>
      <c r="X40" s="85">
        <v>0</v>
      </c>
      <c r="Y40" s="85">
        <v>0</v>
      </c>
      <c r="Z40" s="85">
        <v>0</v>
      </c>
      <c r="AA40" s="85">
        <v>0</v>
      </c>
      <c r="AB40" s="85">
        <v>0</v>
      </c>
      <c r="AC40" s="85">
        <v>0</v>
      </c>
      <c r="AD40" s="85">
        <v>0</v>
      </c>
      <c r="AE40" s="85">
        <v>0</v>
      </c>
      <c r="AF40" s="85">
        <v>0</v>
      </c>
      <c r="AG40" s="85">
        <v>0</v>
      </c>
    </row>
    <row r="41" spans="1:33">
      <c r="A41" s="12" t="s">
        <v>431</v>
      </c>
      <c r="B41" s="83">
        <v>0</v>
      </c>
      <c r="C41" s="83">
        <v>0</v>
      </c>
      <c r="D41" s="83">
        <v>0</v>
      </c>
      <c r="E41" s="83">
        <v>0</v>
      </c>
      <c r="F41" s="83">
        <v>0</v>
      </c>
      <c r="G41" s="83">
        <v>0</v>
      </c>
      <c r="H41" s="83">
        <v>0</v>
      </c>
      <c r="I41" s="83">
        <v>0</v>
      </c>
      <c r="J41" s="83">
        <v>0</v>
      </c>
      <c r="K41" s="83">
        <v>0</v>
      </c>
      <c r="L41" s="83">
        <v>0</v>
      </c>
      <c r="M41" s="83">
        <v>0</v>
      </c>
      <c r="N41" s="83">
        <v>0</v>
      </c>
      <c r="O41" s="83">
        <v>0</v>
      </c>
      <c r="P41" s="83">
        <v>0</v>
      </c>
      <c r="Q41" s="83">
        <v>0</v>
      </c>
      <c r="R41" s="83">
        <v>0</v>
      </c>
      <c r="S41" s="83">
        <v>0</v>
      </c>
      <c r="T41" s="83">
        <v>0</v>
      </c>
      <c r="U41" s="83">
        <v>0</v>
      </c>
      <c r="V41" s="83">
        <v>0</v>
      </c>
      <c r="W41" s="83">
        <v>0</v>
      </c>
      <c r="X41" s="83">
        <v>0</v>
      </c>
      <c r="Y41" s="83">
        <v>0</v>
      </c>
      <c r="Z41" s="83">
        <v>0</v>
      </c>
      <c r="AA41" s="83">
        <v>0</v>
      </c>
      <c r="AB41" s="83">
        <v>0</v>
      </c>
      <c r="AC41" s="83">
        <v>0</v>
      </c>
      <c r="AD41" s="83">
        <v>0</v>
      </c>
      <c r="AE41" s="83">
        <v>0</v>
      </c>
      <c r="AF41" s="83">
        <v>0</v>
      </c>
      <c r="AG41" s="83">
        <v>0</v>
      </c>
    </row>
    <row r="42" spans="1:33">
      <c r="A42" s="115" t="s">
        <v>414</v>
      </c>
      <c r="B42" s="86">
        <v>0</v>
      </c>
      <c r="C42" s="70">
        <v>0</v>
      </c>
      <c r="D42" s="70">
        <v>0</v>
      </c>
      <c r="E42" s="70">
        <v>0</v>
      </c>
      <c r="F42" s="70">
        <v>0</v>
      </c>
      <c r="G42" s="70">
        <v>0</v>
      </c>
      <c r="H42" s="70">
        <v>0</v>
      </c>
      <c r="I42" s="70">
        <v>0</v>
      </c>
      <c r="J42" s="70">
        <v>0</v>
      </c>
      <c r="K42" s="70">
        <v>0</v>
      </c>
      <c r="L42" s="70">
        <v>0</v>
      </c>
      <c r="M42" s="70">
        <v>0</v>
      </c>
      <c r="N42" s="70">
        <v>0</v>
      </c>
      <c r="O42" s="70">
        <v>0</v>
      </c>
      <c r="P42" s="70">
        <v>0</v>
      </c>
      <c r="Q42" s="70">
        <v>0</v>
      </c>
      <c r="R42" s="70">
        <v>0</v>
      </c>
      <c r="S42" s="70">
        <v>0</v>
      </c>
      <c r="T42" s="70">
        <v>0</v>
      </c>
      <c r="U42" s="70">
        <v>0</v>
      </c>
      <c r="V42" s="70">
        <v>0</v>
      </c>
      <c r="W42" s="70">
        <v>0</v>
      </c>
      <c r="X42" s="70">
        <v>0</v>
      </c>
      <c r="Y42" s="70">
        <v>0</v>
      </c>
      <c r="Z42" s="70">
        <v>0</v>
      </c>
      <c r="AA42" s="70">
        <v>0</v>
      </c>
      <c r="AB42" s="70">
        <v>0</v>
      </c>
      <c r="AC42" s="70">
        <v>0</v>
      </c>
      <c r="AD42" s="70">
        <v>0</v>
      </c>
      <c r="AE42" s="70">
        <v>0</v>
      </c>
      <c r="AF42" s="70">
        <v>0</v>
      </c>
      <c r="AG42" s="70">
        <v>0</v>
      </c>
    </row>
    <row r="43" spans="1:33">
      <c r="A43" s="115" t="s">
        <v>415</v>
      </c>
      <c r="B43" s="86">
        <v>0</v>
      </c>
      <c r="C43" s="70">
        <v>0</v>
      </c>
      <c r="D43" s="70">
        <v>0</v>
      </c>
      <c r="E43" s="70">
        <v>0</v>
      </c>
      <c r="F43" s="70">
        <v>0</v>
      </c>
      <c r="G43" s="70">
        <v>0</v>
      </c>
      <c r="H43" s="70">
        <v>0</v>
      </c>
      <c r="I43" s="70">
        <v>0</v>
      </c>
      <c r="J43" s="70">
        <v>0</v>
      </c>
      <c r="K43" s="70">
        <v>0</v>
      </c>
      <c r="L43" s="70">
        <v>0</v>
      </c>
      <c r="M43" s="70">
        <v>0</v>
      </c>
      <c r="N43" s="70">
        <v>0</v>
      </c>
      <c r="O43" s="70">
        <v>0</v>
      </c>
      <c r="P43" s="70">
        <v>0</v>
      </c>
      <c r="Q43" s="70">
        <v>0</v>
      </c>
      <c r="R43" s="70">
        <v>0</v>
      </c>
      <c r="S43" s="70">
        <v>0</v>
      </c>
      <c r="T43" s="70">
        <v>0</v>
      </c>
      <c r="U43" s="70">
        <v>0</v>
      </c>
      <c r="V43" s="70">
        <v>0</v>
      </c>
      <c r="W43" s="70">
        <v>0</v>
      </c>
      <c r="X43" s="70">
        <v>0</v>
      </c>
      <c r="Y43" s="70">
        <v>0</v>
      </c>
      <c r="Z43" s="70">
        <v>0</v>
      </c>
      <c r="AA43" s="70">
        <v>0</v>
      </c>
      <c r="AB43" s="70">
        <v>0</v>
      </c>
      <c r="AC43" s="70">
        <v>0</v>
      </c>
      <c r="AD43" s="70">
        <v>0</v>
      </c>
      <c r="AE43" s="70">
        <v>0</v>
      </c>
      <c r="AF43" s="70">
        <v>0</v>
      </c>
      <c r="AG43" s="70">
        <v>0</v>
      </c>
    </row>
    <row r="44" spans="1:33">
      <c r="A44" s="115" t="s">
        <v>416</v>
      </c>
      <c r="B44" s="86">
        <v>1</v>
      </c>
      <c r="C44" s="70">
        <v>0</v>
      </c>
      <c r="D44" s="70">
        <v>0</v>
      </c>
      <c r="E44" s="70">
        <v>0</v>
      </c>
      <c r="F44" s="70">
        <v>0</v>
      </c>
      <c r="G44" s="70">
        <v>0</v>
      </c>
      <c r="H44" s="70">
        <v>0</v>
      </c>
      <c r="I44" s="70">
        <v>0</v>
      </c>
      <c r="J44" s="70">
        <v>0</v>
      </c>
      <c r="K44" s="70">
        <v>0</v>
      </c>
      <c r="L44" s="70">
        <v>0</v>
      </c>
      <c r="M44" s="70">
        <v>0</v>
      </c>
      <c r="N44" s="70">
        <v>0</v>
      </c>
      <c r="O44" s="70">
        <v>1</v>
      </c>
      <c r="P44" s="70">
        <v>0</v>
      </c>
      <c r="Q44" s="70">
        <v>0</v>
      </c>
      <c r="R44" s="70">
        <v>0</v>
      </c>
      <c r="S44" s="70">
        <v>0</v>
      </c>
      <c r="T44" s="70">
        <v>0</v>
      </c>
      <c r="U44" s="70">
        <v>0</v>
      </c>
      <c r="V44" s="70">
        <v>0</v>
      </c>
      <c r="W44" s="70">
        <v>0</v>
      </c>
      <c r="X44" s="70">
        <v>0</v>
      </c>
      <c r="Y44" s="70">
        <v>0</v>
      </c>
      <c r="Z44" s="70">
        <v>0</v>
      </c>
      <c r="AA44" s="70">
        <v>0</v>
      </c>
      <c r="AB44" s="70">
        <v>0</v>
      </c>
      <c r="AC44" s="70">
        <v>0</v>
      </c>
      <c r="AD44" s="70">
        <v>0</v>
      </c>
      <c r="AE44" s="70">
        <v>0</v>
      </c>
      <c r="AF44" s="70">
        <v>0</v>
      </c>
      <c r="AG44" s="70">
        <v>0</v>
      </c>
    </row>
    <row r="45" spans="1:33">
      <c r="A45" s="114" t="s">
        <v>417</v>
      </c>
      <c r="B45" s="321">
        <f>1-(B44/B38)</f>
        <v>0.9882352941176471</v>
      </c>
      <c r="C45" s="88" t="s">
        <v>418</v>
      </c>
      <c r="D45" s="88" t="s">
        <v>418</v>
      </c>
      <c r="E45" s="88">
        <v>1</v>
      </c>
      <c r="F45" s="88">
        <v>1</v>
      </c>
      <c r="G45" s="88">
        <v>1</v>
      </c>
      <c r="H45" s="88">
        <v>1</v>
      </c>
      <c r="I45" s="88">
        <v>1</v>
      </c>
      <c r="J45" s="88" t="s">
        <v>418</v>
      </c>
      <c r="K45" s="88" t="s">
        <v>418</v>
      </c>
      <c r="L45" s="88">
        <v>1</v>
      </c>
      <c r="M45" s="88">
        <v>1</v>
      </c>
      <c r="N45" s="88">
        <v>1</v>
      </c>
      <c r="O45" s="88">
        <v>0.75</v>
      </c>
      <c r="P45" s="88">
        <v>1</v>
      </c>
      <c r="Q45" s="88" t="s">
        <v>418</v>
      </c>
      <c r="R45" s="88" t="s">
        <v>418</v>
      </c>
      <c r="S45" s="88">
        <v>1</v>
      </c>
      <c r="T45" s="88">
        <v>1</v>
      </c>
      <c r="U45" s="88">
        <v>1</v>
      </c>
      <c r="V45" s="88">
        <v>1</v>
      </c>
      <c r="W45" s="88">
        <v>1</v>
      </c>
      <c r="X45" s="88" t="s">
        <v>418</v>
      </c>
      <c r="Y45" s="88" t="s">
        <v>418</v>
      </c>
      <c r="Z45" s="88">
        <v>1</v>
      </c>
      <c r="AA45" s="88">
        <v>1</v>
      </c>
      <c r="AB45" s="88">
        <v>1</v>
      </c>
      <c r="AC45" s="88">
        <v>1</v>
      </c>
      <c r="AD45" s="88">
        <v>1</v>
      </c>
      <c r="AE45" s="88" t="s">
        <v>418</v>
      </c>
      <c r="AF45" s="88" t="s">
        <v>418</v>
      </c>
      <c r="AG45" s="88">
        <v>1</v>
      </c>
    </row>
    <row r="47" spans="1:33" ht="18.75">
      <c r="A47" s="433" t="s">
        <v>536</v>
      </c>
      <c r="B47" s="434"/>
      <c r="C47" s="434"/>
      <c r="D47" s="434"/>
      <c r="E47" s="434"/>
      <c r="F47" s="434"/>
      <c r="G47" s="434"/>
      <c r="H47" s="434"/>
      <c r="I47" s="434"/>
      <c r="J47" s="434"/>
      <c r="K47" s="434"/>
      <c r="L47" s="434"/>
      <c r="M47" s="434"/>
      <c r="N47" s="434"/>
      <c r="O47" s="434"/>
      <c r="P47" s="434"/>
      <c r="Q47" s="434"/>
      <c r="R47" s="434"/>
      <c r="S47" s="434"/>
      <c r="T47" s="434"/>
      <c r="U47" s="434"/>
      <c r="V47" s="434"/>
      <c r="W47" s="434"/>
      <c r="X47" s="434"/>
      <c r="Y47" s="434"/>
      <c r="Z47" s="434"/>
      <c r="AA47" s="434"/>
      <c r="AB47" s="434"/>
      <c r="AC47" s="434"/>
      <c r="AD47" s="434"/>
      <c r="AE47" s="434"/>
      <c r="AF47" s="434"/>
      <c r="AG47" s="434"/>
    </row>
    <row r="48" spans="1:33">
      <c r="A48" s="114" t="s">
        <v>87</v>
      </c>
      <c r="B48" s="151" t="s">
        <v>13</v>
      </c>
      <c r="C48" s="113">
        <v>45444</v>
      </c>
      <c r="D48" s="113">
        <v>45445</v>
      </c>
      <c r="E48" s="113">
        <v>45446</v>
      </c>
      <c r="F48" s="113">
        <v>45447</v>
      </c>
      <c r="G48" s="113">
        <v>45448</v>
      </c>
      <c r="H48" s="113">
        <v>45449</v>
      </c>
      <c r="I48" s="113">
        <v>45450</v>
      </c>
      <c r="J48" s="113">
        <v>45451</v>
      </c>
      <c r="K48" s="113">
        <v>45452</v>
      </c>
      <c r="L48" s="113">
        <v>45453</v>
      </c>
      <c r="M48" s="113">
        <v>45454</v>
      </c>
      <c r="N48" s="113">
        <v>45455</v>
      </c>
      <c r="O48" s="113">
        <v>45456</v>
      </c>
      <c r="P48" s="113">
        <v>45457</v>
      </c>
      <c r="Q48" s="113">
        <v>45458</v>
      </c>
      <c r="R48" s="113">
        <v>45459</v>
      </c>
      <c r="S48" s="113">
        <v>45460</v>
      </c>
      <c r="T48" s="113">
        <v>45461</v>
      </c>
      <c r="U48" s="113">
        <v>45462</v>
      </c>
      <c r="V48" s="113">
        <v>45463</v>
      </c>
      <c r="W48" s="113">
        <v>45464</v>
      </c>
      <c r="X48" s="113">
        <v>45465</v>
      </c>
      <c r="Y48" s="113">
        <v>45466</v>
      </c>
      <c r="Z48" s="113">
        <v>45467</v>
      </c>
      <c r="AA48" s="113">
        <v>45468</v>
      </c>
      <c r="AB48" s="113">
        <v>45469</v>
      </c>
      <c r="AC48" s="113">
        <v>45470</v>
      </c>
      <c r="AD48" s="113">
        <v>45471</v>
      </c>
      <c r="AE48" s="113">
        <v>45472</v>
      </c>
      <c r="AF48" s="113">
        <v>45473</v>
      </c>
      <c r="AG48" s="113">
        <v>45443</v>
      </c>
    </row>
    <row r="49" spans="1:33">
      <c r="A49" s="12" t="s">
        <v>537</v>
      </c>
      <c r="B49" s="83">
        <v>1515</v>
      </c>
      <c r="C49" s="83">
        <v>0</v>
      </c>
      <c r="D49" s="83">
        <v>0</v>
      </c>
      <c r="E49" s="83">
        <v>109</v>
      </c>
      <c r="F49" s="83">
        <v>105</v>
      </c>
      <c r="G49" s="83">
        <v>94</v>
      </c>
      <c r="H49" s="83">
        <v>96</v>
      </c>
      <c r="I49" s="83">
        <v>91</v>
      </c>
      <c r="J49" s="83">
        <v>0</v>
      </c>
      <c r="K49" s="83">
        <v>0</v>
      </c>
      <c r="L49" s="83">
        <v>85</v>
      </c>
      <c r="M49" s="83">
        <v>96</v>
      </c>
      <c r="N49" s="83">
        <v>95</v>
      </c>
      <c r="O49" s="83">
        <v>101</v>
      </c>
      <c r="P49" s="83">
        <v>72</v>
      </c>
      <c r="Q49" s="83">
        <v>0</v>
      </c>
      <c r="R49" s="83">
        <v>0</v>
      </c>
      <c r="S49" s="83">
        <v>87</v>
      </c>
      <c r="T49" s="83">
        <v>77</v>
      </c>
      <c r="U49" s="83">
        <v>80</v>
      </c>
      <c r="V49" s="83">
        <v>60</v>
      </c>
      <c r="W49" s="83">
        <v>26</v>
      </c>
      <c r="X49" s="83">
        <v>0</v>
      </c>
      <c r="Y49" s="83">
        <v>0</v>
      </c>
      <c r="Z49" s="83">
        <v>57</v>
      </c>
      <c r="AA49" s="83">
        <v>26</v>
      </c>
      <c r="AB49" s="83">
        <v>60</v>
      </c>
      <c r="AC49" s="83">
        <v>63</v>
      </c>
      <c r="AD49" s="83">
        <v>35</v>
      </c>
      <c r="AE49" s="83">
        <v>0</v>
      </c>
      <c r="AF49" s="83">
        <v>0</v>
      </c>
      <c r="AG49" s="83">
        <v>107</v>
      </c>
    </row>
    <row r="50" spans="1:33">
      <c r="A50" s="12" t="s">
        <v>538</v>
      </c>
      <c r="B50" s="83">
        <v>133</v>
      </c>
      <c r="C50" s="83">
        <v>0</v>
      </c>
      <c r="D50" s="83">
        <v>0</v>
      </c>
      <c r="E50" s="83">
        <v>1</v>
      </c>
      <c r="F50" s="83">
        <v>5</v>
      </c>
      <c r="G50" s="83">
        <v>19</v>
      </c>
      <c r="H50" s="83">
        <v>20</v>
      </c>
      <c r="I50" s="83">
        <v>9</v>
      </c>
      <c r="J50" s="83">
        <v>0</v>
      </c>
      <c r="K50" s="83">
        <v>0</v>
      </c>
      <c r="L50" s="83">
        <v>20</v>
      </c>
      <c r="M50" s="83">
        <v>4</v>
      </c>
      <c r="N50" s="83">
        <v>2</v>
      </c>
      <c r="O50" s="83">
        <v>5</v>
      </c>
      <c r="P50" s="83">
        <v>1</v>
      </c>
      <c r="Q50" s="83">
        <v>0</v>
      </c>
      <c r="R50" s="83">
        <v>0</v>
      </c>
      <c r="S50" s="83">
        <v>2</v>
      </c>
      <c r="T50" s="83">
        <v>8</v>
      </c>
      <c r="U50" s="83">
        <v>12</v>
      </c>
      <c r="V50" s="83">
        <v>4</v>
      </c>
      <c r="W50" s="83">
        <v>3</v>
      </c>
      <c r="X50" s="83">
        <v>0</v>
      </c>
      <c r="Y50" s="83">
        <v>0</v>
      </c>
      <c r="Z50" s="83">
        <v>3</v>
      </c>
      <c r="AA50" s="83">
        <v>3</v>
      </c>
      <c r="AB50" s="83">
        <v>3</v>
      </c>
      <c r="AC50" s="83">
        <v>8</v>
      </c>
      <c r="AD50" s="83">
        <v>1</v>
      </c>
      <c r="AE50" s="83">
        <v>0</v>
      </c>
      <c r="AF50" s="83">
        <v>0</v>
      </c>
      <c r="AG50" s="83">
        <v>3</v>
      </c>
    </row>
    <row r="51" spans="1:33">
      <c r="A51" s="12" t="s">
        <v>539</v>
      </c>
      <c r="B51" s="83">
        <v>111</v>
      </c>
      <c r="C51" s="83">
        <v>0</v>
      </c>
      <c r="D51" s="83">
        <v>0</v>
      </c>
      <c r="E51" s="83">
        <v>6</v>
      </c>
      <c r="F51" s="83">
        <v>3</v>
      </c>
      <c r="G51" s="83">
        <v>4</v>
      </c>
      <c r="H51" s="83">
        <v>0</v>
      </c>
      <c r="I51" s="83">
        <v>19</v>
      </c>
      <c r="J51" s="83">
        <v>0</v>
      </c>
      <c r="K51" s="83">
        <v>0</v>
      </c>
      <c r="L51" s="83">
        <v>12</v>
      </c>
      <c r="M51" s="83">
        <v>6</v>
      </c>
      <c r="N51" s="83">
        <v>1</v>
      </c>
      <c r="O51" s="83">
        <v>8</v>
      </c>
      <c r="P51" s="83">
        <v>0</v>
      </c>
      <c r="Q51" s="83">
        <v>0</v>
      </c>
      <c r="R51" s="83">
        <v>0</v>
      </c>
      <c r="S51" s="83">
        <v>8</v>
      </c>
      <c r="T51" s="83">
        <v>9</v>
      </c>
      <c r="U51" s="83">
        <v>5</v>
      </c>
      <c r="V51" s="83">
        <v>6</v>
      </c>
      <c r="W51" s="83">
        <v>10</v>
      </c>
      <c r="X51" s="83">
        <v>0</v>
      </c>
      <c r="Y51" s="83">
        <v>0</v>
      </c>
      <c r="Z51" s="83">
        <v>4</v>
      </c>
      <c r="AA51" s="83">
        <v>1</v>
      </c>
      <c r="AB51" s="83">
        <v>1</v>
      </c>
      <c r="AC51" s="83">
        <v>4</v>
      </c>
      <c r="AD51" s="83">
        <v>4</v>
      </c>
      <c r="AE51" s="83">
        <v>0</v>
      </c>
      <c r="AF51" s="83">
        <v>0</v>
      </c>
      <c r="AG51" s="83">
        <v>4</v>
      </c>
    </row>
    <row r="52" spans="1:33">
      <c r="A52" s="114" t="s">
        <v>540</v>
      </c>
      <c r="B52" s="84">
        <v>1759</v>
      </c>
      <c r="C52" s="85">
        <v>0</v>
      </c>
      <c r="D52" s="85">
        <v>0</v>
      </c>
      <c r="E52" s="85">
        <v>116</v>
      </c>
      <c r="F52" s="85">
        <v>113</v>
      </c>
      <c r="G52" s="85">
        <v>117</v>
      </c>
      <c r="H52" s="85">
        <v>116</v>
      </c>
      <c r="I52" s="85">
        <v>119</v>
      </c>
      <c r="J52" s="85">
        <v>0</v>
      </c>
      <c r="K52" s="85">
        <v>0</v>
      </c>
      <c r="L52" s="85">
        <v>117</v>
      </c>
      <c r="M52" s="85">
        <v>106</v>
      </c>
      <c r="N52" s="85">
        <v>98</v>
      </c>
      <c r="O52" s="85">
        <v>114</v>
      </c>
      <c r="P52" s="85">
        <v>73</v>
      </c>
      <c r="Q52" s="85">
        <v>0</v>
      </c>
      <c r="R52" s="85">
        <v>0</v>
      </c>
      <c r="S52" s="85">
        <v>97</v>
      </c>
      <c r="T52" s="85">
        <v>94</v>
      </c>
      <c r="U52" s="85">
        <v>97</v>
      </c>
      <c r="V52" s="85">
        <v>70</v>
      </c>
      <c r="W52" s="85">
        <v>39</v>
      </c>
      <c r="X52" s="85">
        <v>0</v>
      </c>
      <c r="Y52" s="85">
        <v>0</v>
      </c>
      <c r="Z52" s="85">
        <v>64</v>
      </c>
      <c r="AA52" s="85">
        <v>30</v>
      </c>
      <c r="AB52" s="85">
        <v>64</v>
      </c>
      <c r="AC52" s="85">
        <v>75</v>
      </c>
      <c r="AD52" s="85">
        <v>40</v>
      </c>
      <c r="AE52" s="85">
        <v>0</v>
      </c>
      <c r="AF52" s="85">
        <v>0</v>
      </c>
      <c r="AG52" s="85">
        <v>114</v>
      </c>
    </row>
    <row r="53" spans="1:33">
      <c r="A53" s="114" t="s">
        <v>597</v>
      </c>
      <c r="B53" s="84">
        <v>11</v>
      </c>
      <c r="C53" s="84">
        <v>0</v>
      </c>
      <c r="D53" s="84">
        <v>0</v>
      </c>
      <c r="E53" s="84">
        <v>157</v>
      </c>
      <c r="F53" s="84">
        <v>138</v>
      </c>
      <c r="G53" s="84">
        <v>125</v>
      </c>
      <c r="H53" s="84">
        <v>126</v>
      </c>
      <c r="I53" s="84">
        <v>95</v>
      </c>
      <c r="J53" s="84">
        <v>0</v>
      </c>
      <c r="K53" s="84">
        <v>0</v>
      </c>
      <c r="L53" s="84">
        <v>59</v>
      </c>
      <c r="M53" s="84">
        <v>13</v>
      </c>
      <c r="N53" s="84">
        <v>4</v>
      </c>
      <c r="O53" s="84">
        <v>42</v>
      </c>
      <c r="P53" s="84">
        <v>12</v>
      </c>
      <c r="Q53" s="84">
        <v>0</v>
      </c>
      <c r="R53" s="84">
        <v>0</v>
      </c>
      <c r="S53" s="84">
        <v>5</v>
      </c>
      <c r="T53" s="84">
        <v>4</v>
      </c>
      <c r="U53" s="84">
        <v>12</v>
      </c>
      <c r="V53" s="84">
        <v>12</v>
      </c>
      <c r="W53" s="84">
        <v>9</v>
      </c>
      <c r="X53" s="84">
        <v>0</v>
      </c>
      <c r="Y53" s="84">
        <v>0</v>
      </c>
      <c r="Z53" s="84">
        <v>13</v>
      </c>
      <c r="AA53" s="84">
        <v>13</v>
      </c>
      <c r="AB53" s="84">
        <v>13</v>
      </c>
      <c r="AC53" s="84">
        <v>11</v>
      </c>
      <c r="AD53" s="84">
        <v>11</v>
      </c>
      <c r="AE53" s="84">
        <v>0</v>
      </c>
      <c r="AF53" s="84">
        <v>0</v>
      </c>
      <c r="AG53" s="84">
        <v>130</v>
      </c>
    </row>
  </sheetData>
  <mergeCells count="4">
    <mergeCell ref="A1:AG1"/>
    <mergeCell ref="A18:AG18"/>
    <mergeCell ref="A34:AG34"/>
    <mergeCell ref="A47:AG47"/>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95ECF-0FF3-45C3-979D-6516601ED24A}">
  <sheetPr>
    <tabColor rgb="FF00B050"/>
  </sheetPr>
  <dimension ref="A1:AM43"/>
  <sheetViews>
    <sheetView topLeftCell="A21" zoomScale="98" zoomScaleNormal="98" workbookViewId="0">
      <selection activeCell="AG31" sqref="AG31:AI37"/>
    </sheetView>
  </sheetViews>
  <sheetFormatPr defaultRowHeight="15"/>
  <cols>
    <col min="1" max="1" width="25.42578125" customWidth="1"/>
    <col min="2" max="6" width="9.85546875" hidden="1" customWidth="1"/>
    <col min="7" max="21" width="11" hidden="1" customWidth="1"/>
    <col min="22" max="22" width="10.7109375" hidden="1" customWidth="1"/>
    <col min="23" max="23" width="9.7109375" hidden="1" customWidth="1"/>
    <col min="24" max="24" width="9.140625" hidden="1" customWidth="1"/>
    <col min="25" max="26" width="9.140625" customWidth="1"/>
    <col min="27" max="27" width="9.7109375" bestFit="1" customWidth="1"/>
    <col min="28" max="33" width="9.140625" customWidth="1"/>
  </cols>
  <sheetData>
    <row r="1" spans="1:39" ht="15.75" customHeight="1" thickBot="1">
      <c r="A1" s="218"/>
      <c r="B1" s="436" t="s">
        <v>432</v>
      </c>
      <c r="C1" s="436"/>
      <c r="D1" s="436" t="s">
        <v>433</v>
      </c>
      <c r="E1" s="436"/>
      <c r="F1" s="436" t="s">
        <v>434</v>
      </c>
      <c r="G1" s="436"/>
      <c r="H1" s="436" t="s">
        <v>435</v>
      </c>
      <c r="I1" s="436"/>
      <c r="J1" s="436" t="s">
        <v>436</v>
      </c>
      <c r="K1" s="436"/>
      <c r="L1" s="436" t="s">
        <v>437</v>
      </c>
      <c r="M1" s="436"/>
      <c r="N1" s="436" t="s">
        <v>439</v>
      </c>
      <c r="O1" s="436"/>
      <c r="P1" s="436" t="s">
        <v>438</v>
      </c>
      <c r="Q1" s="436"/>
      <c r="R1" s="436" t="s">
        <v>440</v>
      </c>
      <c r="S1" s="436"/>
      <c r="T1" s="436" t="s">
        <v>441</v>
      </c>
      <c r="U1" s="436"/>
      <c r="V1" s="436" t="s">
        <v>442</v>
      </c>
      <c r="W1" s="436"/>
      <c r="X1" s="436" t="s">
        <v>443</v>
      </c>
      <c r="Y1" s="436"/>
      <c r="Z1" s="436" t="s">
        <v>444</v>
      </c>
      <c r="AA1" s="436"/>
      <c r="AB1" s="436" t="s">
        <v>445</v>
      </c>
      <c r="AC1" s="436"/>
      <c r="AD1" s="436" t="s">
        <v>446</v>
      </c>
      <c r="AE1" s="436"/>
      <c r="AF1" s="436" t="s">
        <v>448</v>
      </c>
      <c r="AG1" s="436"/>
      <c r="AH1" s="436" t="s">
        <v>502</v>
      </c>
      <c r="AI1" s="436"/>
      <c r="AJ1" s="436" t="s">
        <v>447</v>
      </c>
      <c r="AK1" s="436"/>
      <c r="AL1" s="437" t="s">
        <v>449</v>
      </c>
      <c r="AM1" s="438" t="s">
        <v>450</v>
      </c>
    </row>
    <row r="2" spans="1:39" ht="30">
      <c r="A2" s="219" t="s">
        <v>451</v>
      </c>
      <c r="B2" s="220" t="s">
        <v>452</v>
      </c>
      <c r="C2" s="220" t="s">
        <v>453</v>
      </c>
      <c r="D2" s="220" t="s">
        <v>452</v>
      </c>
      <c r="E2" s="220" t="s">
        <v>453</v>
      </c>
      <c r="F2" s="220" t="s">
        <v>452</v>
      </c>
      <c r="G2" s="220" t="s">
        <v>453</v>
      </c>
      <c r="H2" s="220" t="s">
        <v>452</v>
      </c>
      <c r="I2" s="220" t="s">
        <v>453</v>
      </c>
      <c r="J2" s="220" t="s">
        <v>452</v>
      </c>
      <c r="K2" s="220" t="s">
        <v>453</v>
      </c>
      <c r="L2" s="220" t="s">
        <v>452</v>
      </c>
      <c r="M2" s="220" t="s">
        <v>453</v>
      </c>
      <c r="N2" s="220" t="s">
        <v>452</v>
      </c>
      <c r="O2" s="220" t="s">
        <v>453</v>
      </c>
      <c r="P2" s="220" t="s">
        <v>452</v>
      </c>
      <c r="Q2" s="220" t="s">
        <v>453</v>
      </c>
      <c r="R2" s="220" t="s">
        <v>452</v>
      </c>
      <c r="S2" s="220" t="s">
        <v>453</v>
      </c>
      <c r="T2" s="220" t="s">
        <v>452</v>
      </c>
      <c r="U2" s="220" t="s">
        <v>453</v>
      </c>
      <c r="V2" s="220" t="s">
        <v>452</v>
      </c>
      <c r="W2" s="220" t="s">
        <v>453</v>
      </c>
      <c r="X2" s="220" t="s">
        <v>452</v>
      </c>
      <c r="Y2" s="220" t="s">
        <v>453</v>
      </c>
      <c r="Z2" s="220" t="s">
        <v>452</v>
      </c>
      <c r="AA2" s="220" t="s">
        <v>453</v>
      </c>
      <c r="AB2" s="220" t="s">
        <v>452</v>
      </c>
      <c r="AC2" s="220" t="s">
        <v>453</v>
      </c>
      <c r="AD2" s="220" t="s">
        <v>452</v>
      </c>
      <c r="AE2" s="220" t="s">
        <v>453</v>
      </c>
      <c r="AF2" s="220" t="s">
        <v>452</v>
      </c>
      <c r="AG2" s="220" t="s">
        <v>453</v>
      </c>
      <c r="AH2" s="220" t="s">
        <v>452</v>
      </c>
      <c r="AI2" s="220" t="s">
        <v>453</v>
      </c>
      <c r="AJ2" s="220" t="s">
        <v>452</v>
      </c>
      <c r="AK2" s="220" t="s">
        <v>453</v>
      </c>
      <c r="AL2" s="437"/>
      <c r="AM2" s="438"/>
    </row>
    <row r="3" spans="1:39" ht="15.75" thickBot="1">
      <c r="A3" s="221" t="s">
        <v>454</v>
      </c>
      <c r="B3" s="222">
        <v>2317</v>
      </c>
      <c r="C3" s="223">
        <v>0.13420000000000001</v>
      </c>
      <c r="D3" s="225">
        <v>958</v>
      </c>
      <c r="E3" s="223">
        <v>5.5500000000000001E-2</v>
      </c>
      <c r="F3" s="224">
        <v>1478</v>
      </c>
      <c r="G3" s="223">
        <v>8.5599999999999996E-2</v>
      </c>
      <c r="H3" s="224">
        <v>2688</v>
      </c>
      <c r="I3" s="223">
        <v>0.15570000000000001</v>
      </c>
      <c r="J3" s="225">
        <v>36</v>
      </c>
      <c r="K3" s="223">
        <v>2.0999999999999999E-3</v>
      </c>
      <c r="L3" s="225">
        <v>932</v>
      </c>
      <c r="M3" s="223">
        <v>5.3999999999999999E-2</v>
      </c>
      <c r="N3" s="225">
        <v>687</v>
      </c>
      <c r="O3" s="223">
        <v>3.9800000000000002E-2</v>
      </c>
      <c r="P3" s="225">
        <v>520</v>
      </c>
      <c r="Q3" s="223">
        <v>3.0099999999999998E-2</v>
      </c>
      <c r="R3" s="224">
        <v>1613</v>
      </c>
      <c r="S3" s="223">
        <v>9.3399999999999997E-2</v>
      </c>
      <c r="T3" s="225">
        <v>979</v>
      </c>
      <c r="U3" s="223">
        <v>5.67E-2</v>
      </c>
      <c r="V3" s="225">
        <v>871</v>
      </c>
      <c r="W3" s="223">
        <v>5.0500000000000003E-2</v>
      </c>
      <c r="X3" s="225">
        <v>209</v>
      </c>
      <c r="Y3" s="223">
        <v>1.21E-2</v>
      </c>
      <c r="Z3" s="225">
        <v>469</v>
      </c>
      <c r="AA3" s="223">
        <v>2.7199999999999998E-2</v>
      </c>
      <c r="AB3" s="225">
        <v>540</v>
      </c>
      <c r="AC3" s="223">
        <v>3.1300000000000001E-2</v>
      </c>
      <c r="AD3" s="225">
        <v>708</v>
      </c>
      <c r="AE3" s="223">
        <v>4.1000000000000002E-2</v>
      </c>
      <c r="AF3" s="225">
        <v>206</v>
      </c>
      <c r="AG3" s="223">
        <v>1.1900000000000001E-2</v>
      </c>
      <c r="AH3" s="225">
        <v>231</v>
      </c>
      <c r="AI3" s="223">
        <v>1.34E-2</v>
      </c>
      <c r="AJ3" s="225">
        <v>267</v>
      </c>
      <c r="AK3" s="223">
        <v>1.55E-2</v>
      </c>
      <c r="AL3" s="224">
        <v>15709</v>
      </c>
      <c r="AM3" s="223">
        <v>0.90990000000000004</v>
      </c>
    </row>
    <row r="4" spans="1:39" ht="15.75" thickBot="1">
      <c r="A4" s="226" t="s">
        <v>455</v>
      </c>
      <c r="B4" s="227">
        <v>4</v>
      </c>
      <c r="C4" s="228">
        <v>2.0000000000000001E-4</v>
      </c>
      <c r="D4" s="229">
        <v>20</v>
      </c>
      <c r="E4" s="228">
        <v>1.1999999999999999E-3</v>
      </c>
      <c r="F4" s="229">
        <v>1</v>
      </c>
      <c r="G4" s="228">
        <v>1E-4</v>
      </c>
      <c r="H4" s="229">
        <v>2</v>
      </c>
      <c r="I4" s="228">
        <v>1E-4</v>
      </c>
      <c r="J4" s="229">
        <v>0</v>
      </c>
      <c r="K4" s="228">
        <v>0</v>
      </c>
      <c r="L4" s="229">
        <v>4</v>
      </c>
      <c r="M4" s="228">
        <v>2.0000000000000001E-4</v>
      </c>
      <c r="N4" s="229">
        <v>0</v>
      </c>
      <c r="O4" s="228">
        <v>0</v>
      </c>
      <c r="P4" s="229">
        <v>3</v>
      </c>
      <c r="Q4" s="228">
        <v>2.0000000000000001E-4</v>
      </c>
      <c r="R4" s="229">
        <v>0</v>
      </c>
      <c r="S4" s="228">
        <v>0</v>
      </c>
      <c r="T4" s="229">
        <v>1</v>
      </c>
      <c r="U4" s="228">
        <v>1E-4</v>
      </c>
      <c r="V4" s="229">
        <v>5</v>
      </c>
      <c r="W4" s="228">
        <v>2.9999999999999997E-4</v>
      </c>
      <c r="X4" s="229">
        <v>0</v>
      </c>
      <c r="Y4" s="228">
        <v>0</v>
      </c>
      <c r="Z4" s="229">
        <v>2</v>
      </c>
      <c r="AA4" s="228">
        <v>1E-4</v>
      </c>
      <c r="AB4" s="229">
        <v>1</v>
      </c>
      <c r="AC4" s="228">
        <v>1E-4</v>
      </c>
      <c r="AD4" s="229">
        <v>0</v>
      </c>
      <c r="AE4" s="228">
        <v>0</v>
      </c>
      <c r="AF4" s="229">
        <v>0</v>
      </c>
      <c r="AG4" s="228">
        <v>0</v>
      </c>
      <c r="AH4" s="229">
        <v>3</v>
      </c>
      <c r="AI4" s="228">
        <v>2.0000000000000001E-4</v>
      </c>
      <c r="AJ4" s="229">
        <v>0</v>
      </c>
      <c r="AK4" s="228">
        <v>0</v>
      </c>
      <c r="AL4" s="229">
        <v>46</v>
      </c>
      <c r="AM4" s="228">
        <v>2.7000000000000001E-3</v>
      </c>
    </row>
    <row r="5" spans="1:39" ht="15.75" thickBot="1">
      <c r="A5" s="221" t="s">
        <v>456</v>
      </c>
      <c r="B5" s="230">
        <v>239</v>
      </c>
      <c r="C5" s="223">
        <v>1.38E-2</v>
      </c>
      <c r="D5" s="225">
        <v>1</v>
      </c>
      <c r="E5" s="223">
        <v>1E-4</v>
      </c>
      <c r="F5" s="225">
        <v>97</v>
      </c>
      <c r="G5" s="223">
        <v>5.5999999999999999E-3</v>
      </c>
      <c r="H5" s="225">
        <v>5</v>
      </c>
      <c r="I5" s="223">
        <v>2.9999999999999997E-4</v>
      </c>
      <c r="J5" s="225">
        <v>2</v>
      </c>
      <c r="K5" s="223">
        <v>1E-4</v>
      </c>
      <c r="L5" s="225">
        <v>6</v>
      </c>
      <c r="M5" s="223">
        <v>2.9999999999999997E-4</v>
      </c>
      <c r="N5" s="225">
        <v>6</v>
      </c>
      <c r="O5" s="223">
        <v>2.9999999999999997E-4</v>
      </c>
      <c r="P5" s="225">
        <v>3</v>
      </c>
      <c r="Q5" s="223">
        <v>2.0000000000000001E-4</v>
      </c>
      <c r="R5" s="225">
        <v>4</v>
      </c>
      <c r="S5" s="223">
        <v>2.0000000000000001E-4</v>
      </c>
      <c r="T5" s="225">
        <v>17</v>
      </c>
      <c r="U5" s="223">
        <v>1E-3</v>
      </c>
      <c r="V5" s="225">
        <v>22</v>
      </c>
      <c r="W5" s="223">
        <v>1.2999999999999999E-3</v>
      </c>
      <c r="X5" s="225">
        <v>3</v>
      </c>
      <c r="Y5" s="223">
        <v>2.0000000000000001E-4</v>
      </c>
      <c r="Z5" s="225">
        <v>4</v>
      </c>
      <c r="AA5" s="223">
        <v>2.0000000000000001E-4</v>
      </c>
      <c r="AB5" s="225">
        <v>7</v>
      </c>
      <c r="AC5" s="223">
        <v>4.0000000000000002E-4</v>
      </c>
      <c r="AD5" s="225">
        <v>0</v>
      </c>
      <c r="AE5" s="223">
        <v>0</v>
      </c>
      <c r="AF5" s="225">
        <v>2</v>
      </c>
      <c r="AG5" s="223">
        <v>1E-4</v>
      </c>
      <c r="AH5" s="225">
        <v>8</v>
      </c>
      <c r="AI5" s="223">
        <v>5.0000000000000001E-4</v>
      </c>
      <c r="AJ5" s="225">
        <v>1</v>
      </c>
      <c r="AK5" s="223">
        <v>1E-4</v>
      </c>
      <c r="AL5" s="225">
        <v>427</v>
      </c>
      <c r="AM5" s="223">
        <v>2.47E-2</v>
      </c>
    </row>
    <row r="6" spans="1:39" ht="15.75" thickBot="1">
      <c r="A6" s="226" t="s">
        <v>457</v>
      </c>
      <c r="B6" s="227">
        <v>23</v>
      </c>
      <c r="C6" s="228">
        <v>1.2999999999999999E-3</v>
      </c>
      <c r="D6" s="229">
        <v>4</v>
      </c>
      <c r="E6" s="228">
        <v>2.0000000000000001E-4</v>
      </c>
      <c r="F6" s="229">
        <v>0</v>
      </c>
      <c r="G6" s="228">
        <v>0</v>
      </c>
      <c r="H6" s="229">
        <v>12</v>
      </c>
      <c r="I6" s="228">
        <v>6.9999999999999999E-4</v>
      </c>
      <c r="J6" s="229">
        <v>0</v>
      </c>
      <c r="K6" s="228">
        <v>0</v>
      </c>
      <c r="L6" s="229">
        <v>30</v>
      </c>
      <c r="M6" s="228">
        <v>1.6999999999999999E-3</v>
      </c>
      <c r="N6" s="229">
        <v>5</v>
      </c>
      <c r="O6" s="228">
        <v>2.9999999999999997E-4</v>
      </c>
      <c r="P6" s="229">
        <v>1</v>
      </c>
      <c r="Q6" s="228">
        <v>1E-4</v>
      </c>
      <c r="R6" s="229">
        <v>0</v>
      </c>
      <c r="S6" s="228">
        <v>0</v>
      </c>
      <c r="T6" s="229">
        <v>12</v>
      </c>
      <c r="U6" s="228">
        <v>6.9999999999999999E-4</v>
      </c>
      <c r="V6" s="229">
        <v>1</v>
      </c>
      <c r="W6" s="228">
        <v>1E-4</v>
      </c>
      <c r="X6" s="229">
        <v>2</v>
      </c>
      <c r="Y6" s="228">
        <v>1E-4</v>
      </c>
      <c r="Z6" s="229">
        <v>1</v>
      </c>
      <c r="AA6" s="228">
        <v>1E-4</v>
      </c>
      <c r="AB6" s="229">
        <v>2</v>
      </c>
      <c r="AC6" s="228">
        <v>1E-4</v>
      </c>
      <c r="AD6" s="229">
        <v>1</v>
      </c>
      <c r="AE6" s="228">
        <v>1E-4</v>
      </c>
      <c r="AF6" s="229">
        <v>0</v>
      </c>
      <c r="AG6" s="228">
        <v>0</v>
      </c>
      <c r="AH6" s="229">
        <v>0</v>
      </c>
      <c r="AI6" s="228">
        <v>0</v>
      </c>
      <c r="AJ6" s="229">
        <v>0</v>
      </c>
      <c r="AK6" s="228">
        <v>0</v>
      </c>
      <c r="AL6" s="229">
        <v>94</v>
      </c>
      <c r="AM6" s="228">
        <v>5.4000000000000003E-3</v>
      </c>
    </row>
    <row r="7" spans="1:39" ht="15.75" thickBot="1">
      <c r="A7" s="221" t="s">
        <v>458</v>
      </c>
      <c r="B7" s="230">
        <v>0</v>
      </c>
      <c r="C7" s="223">
        <v>0</v>
      </c>
      <c r="D7" s="225">
        <v>0</v>
      </c>
      <c r="E7" s="223">
        <v>0</v>
      </c>
      <c r="F7" s="225">
        <v>0</v>
      </c>
      <c r="G7" s="223">
        <v>0</v>
      </c>
      <c r="H7" s="225">
        <v>3</v>
      </c>
      <c r="I7" s="223">
        <v>2.0000000000000001E-4</v>
      </c>
      <c r="J7" s="225">
        <v>0</v>
      </c>
      <c r="K7" s="223">
        <v>0</v>
      </c>
      <c r="L7" s="225">
        <v>1</v>
      </c>
      <c r="M7" s="223">
        <v>1E-4</v>
      </c>
      <c r="N7" s="225">
        <v>0</v>
      </c>
      <c r="O7" s="223">
        <v>0</v>
      </c>
      <c r="P7" s="225">
        <v>0</v>
      </c>
      <c r="Q7" s="223">
        <v>0</v>
      </c>
      <c r="R7" s="225">
        <v>0</v>
      </c>
      <c r="S7" s="223">
        <v>0</v>
      </c>
      <c r="T7" s="225">
        <v>0</v>
      </c>
      <c r="U7" s="223">
        <v>0</v>
      </c>
      <c r="V7" s="225">
        <v>0</v>
      </c>
      <c r="W7" s="223">
        <v>0</v>
      </c>
      <c r="X7" s="225">
        <v>1</v>
      </c>
      <c r="Y7" s="223">
        <v>1E-4</v>
      </c>
      <c r="Z7" s="225">
        <v>1</v>
      </c>
      <c r="AA7" s="223">
        <v>1E-4</v>
      </c>
      <c r="AB7" s="225">
        <v>1</v>
      </c>
      <c r="AC7" s="223">
        <v>1E-4</v>
      </c>
      <c r="AD7" s="225">
        <v>1</v>
      </c>
      <c r="AE7" s="223">
        <v>1E-4</v>
      </c>
      <c r="AF7" s="225">
        <v>0</v>
      </c>
      <c r="AG7" s="223">
        <v>0</v>
      </c>
      <c r="AH7" s="225">
        <v>1</v>
      </c>
      <c r="AI7" s="223">
        <v>1E-4</v>
      </c>
      <c r="AJ7" s="225">
        <v>1</v>
      </c>
      <c r="AK7" s="223">
        <v>1E-4</v>
      </c>
      <c r="AL7" s="225">
        <v>10</v>
      </c>
      <c r="AM7" s="223">
        <v>5.9999999999999995E-4</v>
      </c>
    </row>
    <row r="8" spans="1:39" ht="15.75" thickBot="1">
      <c r="A8" s="226" t="s">
        <v>459</v>
      </c>
      <c r="B8" s="227">
        <v>2</v>
      </c>
      <c r="C8" s="228">
        <v>1E-4</v>
      </c>
      <c r="D8" s="229">
        <v>7</v>
      </c>
      <c r="E8" s="228">
        <v>4.0000000000000002E-4</v>
      </c>
      <c r="F8" s="229">
        <v>2</v>
      </c>
      <c r="G8" s="228">
        <v>1E-4</v>
      </c>
      <c r="H8" s="229">
        <v>11</v>
      </c>
      <c r="I8" s="228">
        <v>5.9999999999999995E-4</v>
      </c>
      <c r="J8" s="229">
        <v>0</v>
      </c>
      <c r="K8" s="228">
        <v>0</v>
      </c>
      <c r="L8" s="229">
        <v>2</v>
      </c>
      <c r="M8" s="228">
        <v>1E-4</v>
      </c>
      <c r="N8" s="229">
        <v>2</v>
      </c>
      <c r="O8" s="228">
        <v>1E-4</v>
      </c>
      <c r="P8" s="229">
        <v>0</v>
      </c>
      <c r="Q8" s="228">
        <v>0</v>
      </c>
      <c r="R8" s="229">
        <v>3</v>
      </c>
      <c r="S8" s="228">
        <v>2.0000000000000001E-4</v>
      </c>
      <c r="T8" s="229">
        <v>2</v>
      </c>
      <c r="U8" s="228">
        <v>1E-4</v>
      </c>
      <c r="V8" s="229">
        <v>3</v>
      </c>
      <c r="W8" s="228">
        <v>2.0000000000000001E-4</v>
      </c>
      <c r="X8" s="229">
        <v>0</v>
      </c>
      <c r="Y8" s="228">
        <v>0</v>
      </c>
      <c r="Z8" s="229">
        <v>10</v>
      </c>
      <c r="AA8" s="228">
        <v>5.9999999999999995E-4</v>
      </c>
      <c r="AB8" s="229">
        <v>1</v>
      </c>
      <c r="AC8" s="228">
        <v>1E-4</v>
      </c>
      <c r="AD8" s="229">
        <v>1</v>
      </c>
      <c r="AE8" s="228">
        <v>1E-4</v>
      </c>
      <c r="AF8" s="229">
        <v>1</v>
      </c>
      <c r="AG8" s="228">
        <v>1E-4</v>
      </c>
      <c r="AH8" s="229">
        <v>0</v>
      </c>
      <c r="AI8" s="228">
        <v>0</v>
      </c>
      <c r="AJ8" s="229">
        <v>1</v>
      </c>
      <c r="AK8" s="228">
        <v>1E-4</v>
      </c>
      <c r="AL8" s="229">
        <v>48</v>
      </c>
      <c r="AM8" s="228">
        <v>2.8E-3</v>
      </c>
    </row>
    <row r="9" spans="1:39" ht="15.75" thickBot="1">
      <c r="A9" s="221" t="s">
        <v>460</v>
      </c>
      <c r="B9" s="230">
        <v>54</v>
      </c>
      <c r="C9" s="223">
        <v>3.0999999999999999E-3</v>
      </c>
      <c r="D9" s="225">
        <v>153</v>
      </c>
      <c r="E9" s="223">
        <v>8.8999999999999999E-3</v>
      </c>
      <c r="F9" s="225">
        <v>64</v>
      </c>
      <c r="G9" s="223">
        <v>3.7000000000000002E-3</v>
      </c>
      <c r="H9" s="225">
        <v>50</v>
      </c>
      <c r="I9" s="223">
        <v>2.8999999999999998E-3</v>
      </c>
      <c r="J9" s="225">
        <v>0</v>
      </c>
      <c r="K9" s="223">
        <v>0</v>
      </c>
      <c r="L9" s="225">
        <v>22</v>
      </c>
      <c r="M9" s="223">
        <v>1.2999999999999999E-3</v>
      </c>
      <c r="N9" s="225">
        <v>7</v>
      </c>
      <c r="O9" s="223">
        <v>4.0000000000000002E-4</v>
      </c>
      <c r="P9" s="225">
        <v>18</v>
      </c>
      <c r="Q9" s="223">
        <v>1E-3</v>
      </c>
      <c r="R9" s="225">
        <v>18</v>
      </c>
      <c r="S9" s="223">
        <v>1E-3</v>
      </c>
      <c r="T9" s="225">
        <v>49</v>
      </c>
      <c r="U9" s="223">
        <v>2.8E-3</v>
      </c>
      <c r="V9" s="225">
        <v>8</v>
      </c>
      <c r="W9" s="223">
        <v>5.0000000000000001E-4</v>
      </c>
      <c r="X9" s="225">
        <v>4</v>
      </c>
      <c r="Y9" s="223">
        <v>2.0000000000000001E-4</v>
      </c>
      <c r="Z9" s="225">
        <v>2</v>
      </c>
      <c r="AA9" s="223">
        <v>1E-4</v>
      </c>
      <c r="AB9" s="225">
        <v>57</v>
      </c>
      <c r="AC9" s="223">
        <v>3.3E-3</v>
      </c>
      <c r="AD9" s="225">
        <v>4</v>
      </c>
      <c r="AE9" s="223">
        <v>2.0000000000000001E-4</v>
      </c>
      <c r="AF9" s="225">
        <v>20</v>
      </c>
      <c r="AG9" s="223">
        <v>1.1999999999999999E-3</v>
      </c>
      <c r="AH9" s="225">
        <v>33</v>
      </c>
      <c r="AI9" s="223">
        <v>1.9E-3</v>
      </c>
      <c r="AJ9" s="225">
        <v>0</v>
      </c>
      <c r="AK9" s="223">
        <v>0</v>
      </c>
      <c r="AL9" s="225">
        <v>563</v>
      </c>
      <c r="AM9" s="223">
        <v>3.2599999999999997E-2</v>
      </c>
    </row>
    <row r="10" spans="1:39" ht="15.75" thickBot="1">
      <c r="A10" s="226" t="s">
        <v>461</v>
      </c>
      <c r="B10" s="227">
        <v>8</v>
      </c>
      <c r="C10" s="228">
        <v>5.0000000000000001E-4</v>
      </c>
      <c r="D10" s="229">
        <v>20</v>
      </c>
      <c r="E10" s="228">
        <v>1.1999999999999999E-3</v>
      </c>
      <c r="F10" s="229">
        <v>8</v>
      </c>
      <c r="G10" s="228">
        <v>5.0000000000000001E-4</v>
      </c>
      <c r="H10" s="229">
        <v>13</v>
      </c>
      <c r="I10" s="228">
        <v>8.0000000000000004E-4</v>
      </c>
      <c r="J10" s="229">
        <v>0</v>
      </c>
      <c r="K10" s="228">
        <v>0</v>
      </c>
      <c r="L10" s="229">
        <v>9</v>
      </c>
      <c r="M10" s="228">
        <v>5.0000000000000001E-4</v>
      </c>
      <c r="N10" s="229">
        <v>2</v>
      </c>
      <c r="O10" s="228">
        <v>1E-4</v>
      </c>
      <c r="P10" s="229">
        <v>6</v>
      </c>
      <c r="Q10" s="228">
        <v>2.9999999999999997E-4</v>
      </c>
      <c r="R10" s="229">
        <v>2</v>
      </c>
      <c r="S10" s="228">
        <v>1E-4</v>
      </c>
      <c r="T10" s="229">
        <v>18</v>
      </c>
      <c r="U10" s="228">
        <v>1E-3</v>
      </c>
      <c r="V10" s="229">
        <v>84</v>
      </c>
      <c r="W10" s="228">
        <v>4.8999999999999998E-3</v>
      </c>
      <c r="X10" s="229">
        <v>3</v>
      </c>
      <c r="Y10" s="228">
        <v>2.0000000000000001E-4</v>
      </c>
      <c r="Z10" s="229">
        <v>1</v>
      </c>
      <c r="AA10" s="228">
        <v>1E-4</v>
      </c>
      <c r="AB10" s="229">
        <v>12</v>
      </c>
      <c r="AC10" s="228">
        <v>6.9999999999999999E-4</v>
      </c>
      <c r="AD10" s="229">
        <v>1</v>
      </c>
      <c r="AE10" s="228">
        <v>1E-4</v>
      </c>
      <c r="AF10" s="229">
        <v>2</v>
      </c>
      <c r="AG10" s="228">
        <v>1E-4</v>
      </c>
      <c r="AH10" s="229">
        <v>4</v>
      </c>
      <c r="AI10" s="228">
        <v>2.0000000000000001E-4</v>
      </c>
      <c r="AJ10" s="229">
        <v>0</v>
      </c>
      <c r="AK10" s="228">
        <v>0</v>
      </c>
      <c r="AL10" s="229">
        <v>193</v>
      </c>
      <c r="AM10" s="228">
        <v>1.12E-2</v>
      </c>
    </row>
    <row r="11" spans="1:39" ht="15.75" thickBot="1">
      <c r="A11" s="221" t="s">
        <v>462</v>
      </c>
      <c r="B11" s="230">
        <v>10</v>
      </c>
      <c r="C11" s="223">
        <v>5.9999999999999995E-4</v>
      </c>
      <c r="D11" s="225">
        <v>14</v>
      </c>
      <c r="E11" s="223">
        <v>8.0000000000000004E-4</v>
      </c>
      <c r="F11" s="225">
        <v>2</v>
      </c>
      <c r="G11" s="223">
        <v>1E-4</v>
      </c>
      <c r="H11" s="225">
        <v>11</v>
      </c>
      <c r="I11" s="223">
        <v>5.9999999999999995E-4</v>
      </c>
      <c r="J11" s="225">
        <v>1</v>
      </c>
      <c r="K11" s="223">
        <v>1E-4</v>
      </c>
      <c r="L11" s="225">
        <v>8</v>
      </c>
      <c r="M11" s="223">
        <v>5.0000000000000001E-4</v>
      </c>
      <c r="N11" s="225">
        <v>2</v>
      </c>
      <c r="O11" s="223">
        <v>1E-4</v>
      </c>
      <c r="P11" s="225">
        <v>20</v>
      </c>
      <c r="Q11" s="223">
        <v>1.1999999999999999E-3</v>
      </c>
      <c r="R11" s="225">
        <v>4</v>
      </c>
      <c r="S11" s="223">
        <v>2.0000000000000001E-4</v>
      </c>
      <c r="T11" s="225">
        <v>11</v>
      </c>
      <c r="U11" s="223">
        <v>5.9999999999999995E-4</v>
      </c>
      <c r="V11" s="225">
        <v>17</v>
      </c>
      <c r="W11" s="223">
        <v>1E-3</v>
      </c>
      <c r="X11" s="225">
        <v>1</v>
      </c>
      <c r="Y11" s="223">
        <v>1E-4</v>
      </c>
      <c r="Z11" s="225">
        <v>3</v>
      </c>
      <c r="AA11" s="223">
        <v>2.0000000000000001E-4</v>
      </c>
      <c r="AB11" s="225">
        <v>1</v>
      </c>
      <c r="AC11" s="223">
        <v>1E-4</v>
      </c>
      <c r="AD11" s="225">
        <v>17</v>
      </c>
      <c r="AE11" s="223">
        <v>1E-3</v>
      </c>
      <c r="AF11" s="225">
        <v>1</v>
      </c>
      <c r="AG11" s="223">
        <v>1E-4</v>
      </c>
      <c r="AH11" s="225">
        <v>3</v>
      </c>
      <c r="AI11" s="223">
        <v>2.0000000000000001E-4</v>
      </c>
      <c r="AJ11" s="225">
        <v>0</v>
      </c>
      <c r="AK11" s="223">
        <v>0</v>
      </c>
      <c r="AL11" s="225">
        <v>126</v>
      </c>
      <c r="AM11" s="223">
        <v>7.3000000000000001E-3</v>
      </c>
    </row>
    <row r="12" spans="1:39" ht="15.75" thickBot="1">
      <c r="A12" s="226" t="s">
        <v>463</v>
      </c>
      <c r="B12" s="227">
        <v>1</v>
      </c>
      <c r="C12" s="228">
        <v>1E-4</v>
      </c>
      <c r="D12" s="229">
        <v>0</v>
      </c>
      <c r="E12" s="228">
        <v>0</v>
      </c>
      <c r="F12" s="229">
        <v>0</v>
      </c>
      <c r="G12" s="228">
        <v>0</v>
      </c>
      <c r="H12" s="229">
        <v>2</v>
      </c>
      <c r="I12" s="228">
        <v>1E-4</v>
      </c>
      <c r="J12" s="229">
        <v>0</v>
      </c>
      <c r="K12" s="228">
        <v>0</v>
      </c>
      <c r="L12" s="229">
        <v>0</v>
      </c>
      <c r="M12" s="228">
        <v>0</v>
      </c>
      <c r="N12" s="229">
        <v>0</v>
      </c>
      <c r="O12" s="228">
        <v>0</v>
      </c>
      <c r="P12" s="229">
        <v>0</v>
      </c>
      <c r="Q12" s="228">
        <v>0</v>
      </c>
      <c r="R12" s="229">
        <v>0</v>
      </c>
      <c r="S12" s="228">
        <v>0</v>
      </c>
      <c r="T12" s="229">
        <v>0</v>
      </c>
      <c r="U12" s="228">
        <v>0</v>
      </c>
      <c r="V12" s="229">
        <v>0</v>
      </c>
      <c r="W12" s="228">
        <v>0</v>
      </c>
      <c r="X12" s="229">
        <v>0</v>
      </c>
      <c r="Y12" s="228">
        <v>0</v>
      </c>
      <c r="Z12" s="229">
        <v>0</v>
      </c>
      <c r="AA12" s="228">
        <v>0</v>
      </c>
      <c r="AB12" s="229">
        <v>1</v>
      </c>
      <c r="AC12" s="228">
        <v>1E-4</v>
      </c>
      <c r="AD12" s="229">
        <v>0</v>
      </c>
      <c r="AE12" s="228">
        <v>0</v>
      </c>
      <c r="AF12" s="229">
        <v>0</v>
      </c>
      <c r="AG12" s="228">
        <v>0</v>
      </c>
      <c r="AH12" s="229">
        <v>0</v>
      </c>
      <c r="AI12" s="228">
        <v>0</v>
      </c>
      <c r="AJ12" s="229">
        <v>0</v>
      </c>
      <c r="AK12" s="228">
        <v>0</v>
      </c>
      <c r="AL12" s="229">
        <v>4</v>
      </c>
      <c r="AM12" s="228">
        <v>2.0000000000000001E-4</v>
      </c>
    </row>
    <row r="13" spans="1:39" ht="15.75" thickBot="1">
      <c r="A13" s="221" t="s">
        <v>464</v>
      </c>
      <c r="B13" s="230">
        <v>11</v>
      </c>
      <c r="C13" s="223">
        <v>5.9999999999999995E-4</v>
      </c>
      <c r="D13" s="225">
        <v>8</v>
      </c>
      <c r="E13" s="223">
        <v>5.0000000000000001E-4</v>
      </c>
      <c r="F13" s="225">
        <v>0</v>
      </c>
      <c r="G13" s="223">
        <v>0</v>
      </c>
      <c r="H13" s="225">
        <v>0</v>
      </c>
      <c r="I13" s="223">
        <v>0</v>
      </c>
      <c r="J13" s="225">
        <v>0</v>
      </c>
      <c r="K13" s="223">
        <v>0</v>
      </c>
      <c r="L13" s="225">
        <v>1</v>
      </c>
      <c r="M13" s="223">
        <v>1E-4</v>
      </c>
      <c r="N13" s="225">
        <v>3</v>
      </c>
      <c r="O13" s="223">
        <v>2.0000000000000001E-4</v>
      </c>
      <c r="P13" s="225">
        <v>3</v>
      </c>
      <c r="Q13" s="223">
        <v>2.0000000000000001E-4</v>
      </c>
      <c r="R13" s="225">
        <v>1</v>
      </c>
      <c r="S13" s="223">
        <v>1E-4</v>
      </c>
      <c r="T13" s="225">
        <v>0</v>
      </c>
      <c r="U13" s="223">
        <v>0</v>
      </c>
      <c r="V13" s="225">
        <v>2</v>
      </c>
      <c r="W13" s="223">
        <v>1E-4</v>
      </c>
      <c r="X13" s="225">
        <v>0</v>
      </c>
      <c r="Y13" s="223">
        <v>0</v>
      </c>
      <c r="Z13" s="225">
        <v>0</v>
      </c>
      <c r="AA13" s="223">
        <v>0</v>
      </c>
      <c r="AB13" s="225">
        <v>4</v>
      </c>
      <c r="AC13" s="223">
        <v>2.0000000000000001E-4</v>
      </c>
      <c r="AD13" s="225">
        <v>1</v>
      </c>
      <c r="AE13" s="223">
        <v>1E-4</v>
      </c>
      <c r="AF13" s="225">
        <v>1</v>
      </c>
      <c r="AG13" s="223">
        <v>1E-4</v>
      </c>
      <c r="AH13" s="225">
        <v>4</v>
      </c>
      <c r="AI13" s="223">
        <v>2.0000000000000001E-4</v>
      </c>
      <c r="AJ13" s="225">
        <v>0</v>
      </c>
      <c r="AK13" s="223">
        <v>0</v>
      </c>
      <c r="AL13" s="225">
        <v>39</v>
      </c>
      <c r="AM13" s="223">
        <v>2.3E-3</v>
      </c>
    </row>
    <row r="14" spans="1:39" ht="15.75" thickBot="1">
      <c r="A14" s="226" t="s">
        <v>632</v>
      </c>
      <c r="B14" s="227">
        <v>0</v>
      </c>
      <c r="C14" s="228">
        <v>0</v>
      </c>
      <c r="D14" s="229">
        <v>0</v>
      </c>
      <c r="E14" s="228">
        <v>0</v>
      </c>
      <c r="F14" s="229">
        <v>0</v>
      </c>
      <c r="G14" s="228">
        <v>0</v>
      </c>
      <c r="H14" s="229">
        <v>0</v>
      </c>
      <c r="I14" s="228">
        <v>0</v>
      </c>
      <c r="J14" s="229">
        <v>0</v>
      </c>
      <c r="K14" s="228">
        <v>0</v>
      </c>
      <c r="L14" s="229">
        <v>0</v>
      </c>
      <c r="M14" s="228">
        <v>0</v>
      </c>
      <c r="N14" s="229">
        <v>0</v>
      </c>
      <c r="O14" s="228">
        <v>0</v>
      </c>
      <c r="P14" s="229">
        <v>1</v>
      </c>
      <c r="Q14" s="228">
        <v>1E-4</v>
      </c>
      <c r="R14" s="229">
        <v>0</v>
      </c>
      <c r="S14" s="228">
        <v>0</v>
      </c>
      <c r="T14" s="229">
        <v>0</v>
      </c>
      <c r="U14" s="228">
        <v>0</v>
      </c>
      <c r="V14" s="229">
        <v>0</v>
      </c>
      <c r="W14" s="228">
        <v>0</v>
      </c>
      <c r="X14" s="229">
        <v>0</v>
      </c>
      <c r="Y14" s="228">
        <v>0</v>
      </c>
      <c r="Z14" s="229">
        <v>0</v>
      </c>
      <c r="AA14" s="228">
        <v>0</v>
      </c>
      <c r="AB14" s="229">
        <v>0</v>
      </c>
      <c r="AC14" s="228">
        <v>0</v>
      </c>
      <c r="AD14" s="229">
        <v>0</v>
      </c>
      <c r="AE14" s="228">
        <v>0</v>
      </c>
      <c r="AF14" s="229">
        <v>0</v>
      </c>
      <c r="AG14" s="228">
        <v>0</v>
      </c>
      <c r="AH14" s="229">
        <v>0</v>
      </c>
      <c r="AI14" s="228">
        <v>0</v>
      </c>
      <c r="AJ14" s="229">
        <v>0</v>
      </c>
      <c r="AK14" s="228">
        <v>0</v>
      </c>
      <c r="AL14" s="229">
        <v>1</v>
      </c>
      <c r="AM14" s="228">
        <v>1E-4</v>
      </c>
    </row>
    <row r="15" spans="1:39" ht="15.75" thickBot="1">
      <c r="A15" s="221" t="s">
        <v>762</v>
      </c>
      <c r="B15" s="230">
        <v>0</v>
      </c>
      <c r="C15" s="223">
        <v>0</v>
      </c>
      <c r="D15" s="225">
        <v>0</v>
      </c>
      <c r="E15" s="223">
        <v>0</v>
      </c>
      <c r="F15" s="225">
        <v>2</v>
      </c>
      <c r="G15" s="223">
        <v>1E-4</v>
      </c>
      <c r="H15" s="225">
        <v>0</v>
      </c>
      <c r="I15" s="223">
        <v>0</v>
      </c>
      <c r="J15" s="225">
        <v>0</v>
      </c>
      <c r="K15" s="223">
        <v>0</v>
      </c>
      <c r="L15" s="225">
        <v>0</v>
      </c>
      <c r="M15" s="223">
        <v>0</v>
      </c>
      <c r="N15" s="225">
        <v>0</v>
      </c>
      <c r="O15" s="223">
        <v>0</v>
      </c>
      <c r="P15" s="225">
        <v>0</v>
      </c>
      <c r="Q15" s="223">
        <v>0</v>
      </c>
      <c r="R15" s="225">
        <v>0</v>
      </c>
      <c r="S15" s="223">
        <v>0</v>
      </c>
      <c r="T15" s="225">
        <v>0</v>
      </c>
      <c r="U15" s="223">
        <v>0</v>
      </c>
      <c r="V15" s="225">
        <v>0</v>
      </c>
      <c r="W15" s="223">
        <v>0</v>
      </c>
      <c r="X15" s="225">
        <v>0</v>
      </c>
      <c r="Y15" s="223">
        <v>0</v>
      </c>
      <c r="Z15" s="225">
        <v>0</v>
      </c>
      <c r="AA15" s="223">
        <v>0</v>
      </c>
      <c r="AB15" s="225">
        <v>0</v>
      </c>
      <c r="AC15" s="223">
        <v>0</v>
      </c>
      <c r="AD15" s="225">
        <v>0</v>
      </c>
      <c r="AE15" s="223">
        <v>0</v>
      </c>
      <c r="AF15" s="225">
        <v>0</v>
      </c>
      <c r="AG15" s="223">
        <v>0</v>
      </c>
      <c r="AH15" s="225">
        <v>0</v>
      </c>
      <c r="AI15" s="223">
        <v>0</v>
      </c>
      <c r="AJ15" s="225">
        <v>0</v>
      </c>
      <c r="AK15" s="223">
        <v>0</v>
      </c>
      <c r="AL15" s="225">
        <v>2</v>
      </c>
      <c r="AM15" s="223">
        <v>1E-4</v>
      </c>
    </row>
    <row r="16" spans="1:39" ht="15.75" thickBot="1">
      <c r="A16" s="226" t="s">
        <v>827</v>
      </c>
      <c r="B16" s="227">
        <v>0</v>
      </c>
      <c r="C16" s="228">
        <v>0</v>
      </c>
      <c r="D16" s="229">
        <v>0</v>
      </c>
      <c r="E16" s="228">
        <v>0</v>
      </c>
      <c r="F16" s="229">
        <v>0</v>
      </c>
      <c r="G16" s="228">
        <v>0</v>
      </c>
      <c r="H16" s="229">
        <v>0</v>
      </c>
      <c r="I16" s="228">
        <v>0</v>
      </c>
      <c r="J16" s="229">
        <v>0</v>
      </c>
      <c r="K16" s="228">
        <v>0</v>
      </c>
      <c r="L16" s="229">
        <v>0</v>
      </c>
      <c r="M16" s="228">
        <v>0</v>
      </c>
      <c r="N16" s="229">
        <v>0</v>
      </c>
      <c r="O16" s="228">
        <v>0</v>
      </c>
      <c r="P16" s="229">
        <v>0</v>
      </c>
      <c r="Q16" s="228">
        <v>0</v>
      </c>
      <c r="R16" s="229">
        <v>0</v>
      </c>
      <c r="S16" s="228">
        <v>0</v>
      </c>
      <c r="T16" s="229">
        <v>0</v>
      </c>
      <c r="U16" s="228">
        <v>0</v>
      </c>
      <c r="V16" s="229">
        <v>0</v>
      </c>
      <c r="W16" s="228">
        <v>0</v>
      </c>
      <c r="X16" s="229">
        <v>0</v>
      </c>
      <c r="Y16" s="228">
        <v>0</v>
      </c>
      <c r="Z16" s="229">
        <v>0</v>
      </c>
      <c r="AA16" s="228">
        <v>0</v>
      </c>
      <c r="AB16" s="229">
        <v>2</v>
      </c>
      <c r="AC16" s="228">
        <v>1E-4</v>
      </c>
      <c r="AD16" s="229">
        <v>0</v>
      </c>
      <c r="AE16" s="228">
        <v>0</v>
      </c>
      <c r="AF16" s="229">
        <v>0</v>
      </c>
      <c r="AG16" s="228">
        <v>0</v>
      </c>
      <c r="AH16" s="229">
        <v>0</v>
      </c>
      <c r="AI16" s="228">
        <v>0</v>
      </c>
      <c r="AJ16" s="229">
        <v>0</v>
      </c>
      <c r="AK16" s="228">
        <v>0</v>
      </c>
      <c r="AL16" s="229">
        <v>2</v>
      </c>
      <c r="AM16" s="228">
        <v>1E-4</v>
      </c>
    </row>
    <row r="17" spans="1:39" ht="15.75" thickBot="1">
      <c r="A17" s="231" t="s">
        <v>9</v>
      </c>
      <c r="B17" s="232">
        <v>2669</v>
      </c>
      <c r="C17" s="233">
        <v>0.15459999999999999</v>
      </c>
      <c r="D17" s="234">
        <v>1185</v>
      </c>
      <c r="E17" s="233">
        <v>6.8599999999999994E-2</v>
      </c>
      <c r="F17" s="234">
        <v>1654</v>
      </c>
      <c r="G17" s="233">
        <v>9.5799999999999996E-2</v>
      </c>
      <c r="H17" s="234">
        <v>2797</v>
      </c>
      <c r="I17" s="233">
        <v>0.16200000000000001</v>
      </c>
      <c r="J17" s="235">
        <v>39</v>
      </c>
      <c r="K17" s="233">
        <v>2.3E-3</v>
      </c>
      <c r="L17" s="234">
        <v>1015</v>
      </c>
      <c r="M17" s="233">
        <v>5.8799999999999998E-2</v>
      </c>
      <c r="N17" s="235">
        <v>714</v>
      </c>
      <c r="O17" s="233">
        <v>4.1399999999999999E-2</v>
      </c>
      <c r="P17" s="235">
        <v>575</v>
      </c>
      <c r="Q17" s="233">
        <v>3.3300000000000003E-2</v>
      </c>
      <c r="R17" s="234">
        <v>1645</v>
      </c>
      <c r="S17" s="233">
        <v>9.5299999999999996E-2</v>
      </c>
      <c r="T17" s="234">
        <v>1089</v>
      </c>
      <c r="U17" s="233">
        <v>6.3100000000000003E-2</v>
      </c>
      <c r="V17" s="234">
        <v>1013</v>
      </c>
      <c r="W17" s="233">
        <v>5.8700000000000002E-2</v>
      </c>
      <c r="X17" s="235">
        <v>223</v>
      </c>
      <c r="Y17" s="233">
        <v>1.29E-2</v>
      </c>
      <c r="Z17" s="235">
        <v>493</v>
      </c>
      <c r="AA17" s="233">
        <v>2.86E-2</v>
      </c>
      <c r="AB17" s="235">
        <v>629</v>
      </c>
      <c r="AC17" s="233">
        <v>3.6400000000000002E-2</v>
      </c>
      <c r="AD17" s="235">
        <v>734</v>
      </c>
      <c r="AE17" s="233">
        <v>4.2500000000000003E-2</v>
      </c>
      <c r="AF17" s="235">
        <v>233</v>
      </c>
      <c r="AG17" s="233">
        <v>1.35E-2</v>
      </c>
      <c r="AH17" s="235">
        <v>287</v>
      </c>
      <c r="AI17" s="233">
        <v>1.66E-2</v>
      </c>
      <c r="AJ17" s="235">
        <v>270</v>
      </c>
      <c r="AK17" s="233">
        <v>1.5599999999999999E-2</v>
      </c>
      <c r="AL17" s="234">
        <v>17264</v>
      </c>
      <c r="AM17" s="233">
        <v>1</v>
      </c>
    </row>
    <row r="18" spans="1:39" ht="15.75" thickBot="1">
      <c r="A18" s="132"/>
    </row>
    <row r="19" spans="1:39" ht="15.75" thickBot="1">
      <c r="A19" s="236" t="s">
        <v>39</v>
      </c>
      <c r="B19" s="237">
        <v>45446</v>
      </c>
      <c r="C19" s="237">
        <v>45447</v>
      </c>
      <c r="D19" s="237">
        <v>45448</v>
      </c>
      <c r="E19" s="237">
        <v>45449</v>
      </c>
      <c r="F19" s="237">
        <v>45450</v>
      </c>
      <c r="G19" s="237">
        <v>45453</v>
      </c>
      <c r="H19" s="237">
        <v>45454</v>
      </c>
      <c r="I19" s="237">
        <v>45455</v>
      </c>
      <c r="J19" s="237">
        <v>45456</v>
      </c>
      <c r="K19" s="237">
        <v>45457</v>
      </c>
      <c r="L19" s="237">
        <v>45460</v>
      </c>
      <c r="M19" s="237">
        <v>45461</v>
      </c>
      <c r="N19" s="237">
        <v>45462</v>
      </c>
      <c r="O19" s="237">
        <v>45463</v>
      </c>
      <c r="P19" s="237">
        <v>45464</v>
      </c>
      <c r="Q19" s="237">
        <v>45467</v>
      </c>
      <c r="R19" s="237">
        <v>45468</v>
      </c>
      <c r="S19" s="237">
        <v>45469</v>
      </c>
      <c r="T19" s="237">
        <v>45470</v>
      </c>
      <c r="U19" s="237">
        <v>45471</v>
      </c>
      <c r="V19" s="238" t="s">
        <v>13</v>
      </c>
      <c r="W19" s="238" t="s">
        <v>13</v>
      </c>
      <c r="X19" s="238" t="s">
        <v>13</v>
      </c>
      <c r="Y19" s="238" t="s">
        <v>13</v>
      </c>
    </row>
    <row r="20" spans="1:39" ht="15.75" thickBot="1">
      <c r="A20" s="239" t="s">
        <v>40</v>
      </c>
      <c r="B20" s="240" t="s">
        <v>42</v>
      </c>
      <c r="C20" s="240" t="s">
        <v>42</v>
      </c>
      <c r="D20" s="240" t="s">
        <v>42</v>
      </c>
      <c r="E20" s="240" t="s">
        <v>42</v>
      </c>
      <c r="F20" s="240" t="s">
        <v>42</v>
      </c>
      <c r="G20" s="240" t="s">
        <v>42</v>
      </c>
      <c r="H20" s="240" t="s">
        <v>42</v>
      </c>
      <c r="I20" s="240" t="s">
        <v>42</v>
      </c>
      <c r="J20" s="240" t="s">
        <v>42</v>
      </c>
      <c r="K20" s="240" t="s">
        <v>42</v>
      </c>
      <c r="L20" s="240" t="s">
        <v>42</v>
      </c>
      <c r="M20" s="240" t="s">
        <v>42</v>
      </c>
      <c r="N20" s="240" t="s">
        <v>42</v>
      </c>
      <c r="O20" s="240" t="s">
        <v>42</v>
      </c>
      <c r="P20" s="240" t="s">
        <v>42</v>
      </c>
      <c r="Q20" s="240" t="s">
        <v>42</v>
      </c>
      <c r="R20" s="240" t="s">
        <v>42</v>
      </c>
      <c r="S20" s="240" t="s">
        <v>42</v>
      </c>
      <c r="T20" s="240" t="s">
        <v>42</v>
      </c>
      <c r="U20" s="240" t="s">
        <v>42</v>
      </c>
      <c r="V20" s="240" t="s">
        <v>42</v>
      </c>
      <c r="W20" s="240" t="s">
        <v>155</v>
      </c>
      <c r="X20" s="240" t="s">
        <v>156</v>
      </c>
      <c r="Y20" s="240" t="s">
        <v>157</v>
      </c>
    </row>
    <row r="21" spans="1:39" ht="15.75" thickBot="1">
      <c r="A21" s="241" t="s">
        <v>28</v>
      </c>
      <c r="B21" s="323">
        <v>291</v>
      </c>
      <c r="C21" s="324">
        <v>172</v>
      </c>
      <c r="D21" s="324">
        <v>161</v>
      </c>
      <c r="E21" s="323">
        <v>163</v>
      </c>
      <c r="F21" s="323">
        <v>183</v>
      </c>
      <c r="G21" s="323">
        <v>89</v>
      </c>
      <c r="H21" s="323">
        <v>0</v>
      </c>
      <c r="I21" s="323">
        <v>45</v>
      </c>
      <c r="J21" s="323">
        <v>402</v>
      </c>
      <c r="K21" s="323">
        <v>24</v>
      </c>
      <c r="L21" s="323">
        <v>302</v>
      </c>
      <c r="M21" s="323">
        <v>220</v>
      </c>
      <c r="N21" s="323">
        <v>371</v>
      </c>
      <c r="O21" s="323">
        <v>203</v>
      </c>
      <c r="P21" s="323">
        <v>123</v>
      </c>
      <c r="Q21" s="323">
        <v>54</v>
      </c>
      <c r="R21" s="323">
        <v>370</v>
      </c>
      <c r="S21" s="323">
        <v>145</v>
      </c>
      <c r="T21" s="323">
        <v>143</v>
      </c>
      <c r="U21" s="323">
        <v>159</v>
      </c>
      <c r="V21" s="323">
        <v>3620</v>
      </c>
      <c r="W21" s="323">
        <v>192</v>
      </c>
      <c r="X21" s="58">
        <v>3812</v>
      </c>
      <c r="Y21" s="242">
        <v>5.04E-2</v>
      </c>
    </row>
    <row r="22" spans="1:39" ht="15.75" thickBot="1">
      <c r="A22" s="311" t="s">
        <v>159</v>
      </c>
      <c r="B22" s="325">
        <v>231</v>
      </c>
      <c r="C22" s="326">
        <v>154</v>
      </c>
      <c r="D22" s="326">
        <v>127</v>
      </c>
      <c r="E22" s="325">
        <v>117</v>
      </c>
      <c r="F22" s="325">
        <v>141</v>
      </c>
      <c r="G22" s="325">
        <v>89</v>
      </c>
      <c r="H22" s="325">
        <v>0</v>
      </c>
      <c r="I22" s="325">
        <v>35</v>
      </c>
      <c r="J22" s="325">
        <v>329</v>
      </c>
      <c r="K22" s="325">
        <v>21</v>
      </c>
      <c r="L22" s="325">
        <v>179</v>
      </c>
      <c r="M22" s="325">
        <v>156</v>
      </c>
      <c r="N22" s="325">
        <v>269</v>
      </c>
      <c r="O22" s="325">
        <v>127</v>
      </c>
      <c r="P22" s="325">
        <v>93</v>
      </c>
      <c r="Q22" s="325">
        <v>49</v>
      </c>
      <c r="R22" s="325">
        <v>258</v>
      </c>
      <c r="S22" s="325">
        <v>106</v>
      </c>
      <c r="T22" s="325">
        <v>87</v>
      </c>
      <c r="U22" s="325">
        <v>120</v>
      </c>
      <c r="V22" s="325">
        <v>2688</v>
      </c>
      <c r="W22" s="325">
        <v>109</v>
      </c>
      <c r="X22" s="295">
        <v>2797</v>
      </c>
      <c r="Y22" s="243">
        <v>3.9E-2</v>
      </c>
    </row>
    <row r="23" spans="1:39" ht="15.75" thickBot="1">
      <c r="A23" s="311" t="s">
        <v>160</v>
      </c>
      <c r="B23" s="325">
        <v>60</v>
      </c>
      <c r="C23" s="325">
        <v>18</v>
      </c>
      <c r="D23" s="325">
        <v>34</v>
      </c>
      <c r="E23" s="325">
        <v>46</v>
      </c>
      <c r="F23" s="325">
        <v>42</v>
      </c>
      <c r="G23" s="325">
        <v>0</v>
      </c>
      <c r="H23" s="325">
        <v>0</v>
      </c>
      <c r="I23" s="325">
        <v>10</v>
      </c>
      <c r="J23" s="325">
        <v>73</v>
      </c>
      <c r="K23" s="325">
        <v>3</v>
      </c>
      <c r="L23" s="325">
        <v>123</v>
      </c>
      <c r="M23" s="325">
        <v>64</v>
      </c>
      <c r="N23" s="325">
        <v>102</v>
      </c>
      <c r="O23" s="325">
        <v>76</v>
      </c>
      <c r="P23" s="325">
        <v>30</v>
      </c>
      <c r="Q23" s="325">
        <v>5</v>
      </c>
      <c r="R23" s="325">
        <v>112</v>
      </c>
      <c r="S23" s="325">
        <v>39</v>
      </c>
      <c r="T23" s="325">
        <v>56</v>
      </c>
      <c r="U23" s="325">
        <v>39</v>
      </c>
      <c r="V23" s="325">
        <v>932</v>
      </c>
      <c r="W23" s="325">
        <v>83</v>
      </c>
      <c r="X23" s="295">
        <v>1015</v>
      </c>
      <c r="Y23" s="243">
        <v>8.1799999999999998E-2</v>
      </c>
    </row>
    <row r="24" spans="1:39" ht="15.75" thickBot="1">
      <c r="A24" s="241" t="s">
        <v>41</v>
      </c>
      <c r="B24" s="323">
        <v>217</v>
      </c>
      <c r="C24" s="323">
        <v>201</v>
      </c>
      <c r="D24" s="323">
        <v>130</v>
      </c>
      <c r="E24" s="323">
        <v>239</v>
      </c>
      <c r="F24" s="323">
        <v>176</v>
      </c>
      <c r="G24" s="323">
        <v>134</v>
      </c>
      <c r="H24" s="323">
        <v>1</v>
      </c>
      <c r="I24" s="323">
        <v>390</v>
      </c>
      <c r="J24" s="323">
        <v>0</v>
      </c>
      <c r="K24" s="323">
        <v>274</v>
      </c>
      <c r="L24" s="323">
        <v>171</v>
      </c>
      <c r="M24" s="323">
        <v>92</v>
      </c>
      <c r="N24" s="323">
        <v>287</v>
      </c>
      <c r="O24" s="323">
        <v>272</v>
      </c>
      <c r="P24" s="323">
        <v>160</v>
      </c>
      <c r="Q24" s="323">
        <v>215</v>
      </c>
      <c r="R24" s="323">
        <v>237</v>
      </c>
      <c r="S24" s="323">
        <v>165</v>
      </c>
      <c r="T24" s="323">
        <v>146</v>
      </c>
      <c r="U24" s="323">
        <v>271</v>
      </c>
      <c r="V24" s="323">
        <v>3778</v>
      </c>
      <c r="W24" s="323">
        <v>341</v>
      </c>
      <c r="X24" s="58">
        <v>4119</v>
      </c>
      <c r="Y24" s="242">
        <v>8.2799999999999999E-2</v>
      </c>
    </row>
    <row r="25" spans="1:39" ht="15.75" thickBot="1">
      <c r="A25" s="311" t="s">
        <v>161</v>
      </c>
      <c r="B25" s="325">
        <v>47</v>
      </c>
      <c r="C25" s="325">
        <v>77</v>
      </c>
      <c r="D25" s="325">
        <v>36</v>
      </c>
      <c r="E25" s="325">
        <v>73</v>
      </c>
      <c r="F25" s="325">
        <v>23</v>
      </c>
      <c r="G25" s="325">
        <v>20</v>
      </c>
      <c r="H25" s="325">
        <v>0</v>
      </c>
      <c r="I25" s="325">
        <v>65</v>
      </c>
      <c r="J25" s="325">
        <v>0</v>
      </c>
      <c r="K25" s="325">
        <v>25</v>
      </c>
      <c r="L25" s="325">
        <v>24</v>
      </c>
      <c r="M25" s="325">
        <v>21</v>
      </c>
      <c r="N25" s="325">
        <v>133</v>
      </c>
      <c r="O25" s="325">
        <v>96</v>
      </c>
      <c r="P25" s="325">
        <v>48</v>
      </c>
      <c r="Q25" s="325">
        <v>66</v>
      </c>
      <c r="R25" s="325">
        <v>66</v>
      </c>
      <c r="S25" s="325">
        <v>35</v>
      </c>
      <c r="T25" s="325">
        <v>25</v>
      </c>
      <c r="U25" s="325">
        <v>78</v>
      </c>
      <c r="V25" s="325">
        <v>958</v>
      </c>
      <c r="W25" s="325">
        <v>227</v>
      </c>
      <c r="X25" s="295">
        <v>1185</v>
      </c>
      <c r="Y25" s="243">
        <v>0.19159999999999999</v>
      </c>
    </row>
    <row r="26" spans="1:39" ht="15.75" thickBot="1">
      <c r="A26" s="311" t="s">
        <v>162</v>
      </c>
      <c r="B26" s="325">
        <v>77</v>
      </c>
      <c r="C26" s="325">
        <v>77</v>
      </c>
      <c r="D26" s="325">
        <v>78</v>
      </c>
      <c r="E26" s="325">
        <v>77</v>
      </c>
      <c r="F26" s="325">
        <v>84</v>
      </c>
      <c r="G26" s="325">
        <v>67</v>
      </c>
      <c r="H26" s="325">
        <v>1</v>
      </c>
      <c r="I26" s="325">
        <v>190</v>
      </c>
      <c r="J26" s="325">
        <v>0</v>
      </c>
      <c r="K26" s="325">
        <v>146</v>
      </c>
      <c r="L26" s="325">
        <v>80</v>
      </c>
      <c r="M26" s="325">
        <v>70</v>
      </c>
      <c r="N26" s="325">
        <v>65</v>
      </c>
      <c r="O26" s="325">
        <v>71</v>
      </c>
      <c r="P26" s="325">
        <v>86</v>
      </c>
      <c r="Q26" s="325">
        <v>81</v>
      </c>
      <c r="R26" s="325">
        <v>128</v>
      </c>
      <c r="S26" s="325">
        <v>100</v>
      </c>
      <c r="T26" s="325">
        <v>47</v>
      </c>
      <c r="U26" s="325">
        <v>88</v>
      </c>
      <c r="V26" s="325">
        <v>1613</v>
      </c>
      <c r="W26" s="325">
        <v>32</v>
      </c>
      <c r="X26" s="295">
        <v>1645</v>
      </c>
      <c r="Y26" s="243">
        <v>1.95E-2</v>
      </c>
    </row>
    <row r="27" spans="1:39" ht="15.75" thickBot="1">
      <c r="A27" s="311" t="s">
        <v>163</v>
      </c>
      <c r="B27" s="325">
        <v>52</v>
      </c>
      <c r="C27" s="325">
        <v>8</v>
      </c>
      <c r="D27" s="325">
        <v>2</v>
      </c>
      <c r="E27" s="325">
        <v>51</v>
      </c>
      <c r="F27" s="325">
        <v>20</v>
      </c>
      <c r="G27" s="325">
        <v>18</v>
      </c>
      <c r="H27" s="325">
        <v>0</v>
      </c>
      <c r="I27" s="325">
        <v>78</v>
      </c>
      <c r="J27" s="325">
        <v>0</v>
      </c>
      <c r="K27" s="325">
        <v>32</v>
      </c>
      <c r="L27" s="325">
        <v>35</v>
      </c>
      <c r="M27" s="325">
        <v>0</v>
      </c>
      <c r="N27" s="325">
        <v>0</v>
      </c>
      <c r="O27" s="325">
        <v>78</v>
      </c>
      <c r="P27" s="325">
        <v>0</v>
      </c>
      <c r="Q27" s="325">
        <v>56</v>
      </c>
      <c r="R27" s="325">
        <v>43</v>
      </c>
      <c r="S27" s="325">
        <v>30</v>
      </c>
      <c r="T27" s="325">
        <v>17</v>
      </c>
      <c r="U27" s="325">
        <v>0</v>
      </c>
      <c r="V27" s="325">
        <v>520</v>
      </c>
      <c r="W27" s="325">
        <v>55</v>
      </c>
      <c r="X27" s="295">
        <v>575</v>
      </c>
      <c r="Y27" s="243">
        <v>9.5699999999999993E-2</v>
      </c>
    </row>
    <row r="28" spans="1:39" ht="15.75" thickBot="1">
      <c r="A28" s="311" t="s">
        <v>164</v>
      </c>
      <c r="B28" s="325">
        <v>41</v>
      </c>
      <c r="C28" s="325">
        <v>39</v>
      </c>
      <c r="D28" s="325">
        <v>14</v>
      </c>
      <c r="E28" s="325">
        <v>38</v>
      </c>
      <c r="F28" s="325">
        <v>49</v>
      </c>
      <c r="G28" s="325">
        <v>29</v>
      </c>
      <c r="H28" s="325">
        <v>0</v>
      </c>
      <c r="I28" s="325">
        <v>57</v>
      </c>
      <c r="J28" s="325">
        <v>0</v>
      </c>
      <c r="K28" s="325">
        <v>71</v>
      </c>
      <c r="L28" s="325">
        <v>32</v>
      </c>
      <c r="M28" s="325">
        <v>1</v>
      </c>
      <c r="N28" s="325">
        <v>89</v>
      </c>
      <c r="O28" s="325">
        <v>27</v>
      </c>
      <c r="P28" s="325">
        <v>26</v>
      </c>
      <c r="Q28" s="325">
        <v>12</v>
      </c>
      <c r="R28" s="325">
        <v>0</v>
      </c>
      <c r="S28" s="325">
        <v>0</v>
      </c>
      <c r="T28" s="325">
        <v>57</v>
      </c>
      <c r="U28" s="325">
        <v>105</v>
      </c>
      <c r="V28" s="325">
        <v>687</v>
      </c>
      <c r="W28" s="325">
        <v>27</v>
      </c>
      <c r="X28" s="295">
        <v>714</v>
      </c>
      <c r="Y28" s="243">
        <v>3.78E-2</v>
      </c>
    </row>
    <row r="29" spans="1:39" ht="15.75" thickBot="1">
      <c r="A29" s="241" t="s">
        <v>761</v>
      </c>
      <c r="B29" s="323">
        <v>182</v>
      </c>
      <c r="C29" s="323">
        <v>379</v>
      </c>
      <c r="D29" s="323">
        <v>175</v>
      </c>
      <c r="E29" s="323">
        <v>336</v>
      </c>
      <c r="F29" s="323">
        <v>270</v>
      </c>
      <c r="G29" s="323">
        <v>56</v>
      </c>
      <c r="H29" s="323">
        <v>0</v>
      </c>
      <c r="I29" s="323">
        <v>437</v>
      </c>
      <c r="J29" s="323">
        <v>171</v>
      </c>
      <c r="K29" s="323">
        <v>318</v>
      </c>
      <c r="L29" s="323">
        <v>267</v>
      </c>
      <c r="M29" s="323">
        <v>352</v>
      </c>
      <c r="N29" s="323">
        <v>210</v>
      </c>
      <c r="O29" s="323">
        <v>167</v>
      </c>
      <c r="P29" s="323">
        <v>203</v>
      </c>
      <c r="Q29" s="323">
        <v>359</v>
      </c>
      <c r="R29" s="323">
        <v>245</v>
      </c>
      <c r="S29" s="323">
        <v>319</v>
      </c>
      <c r="T29" s="323">
        <v>158</v>
      </c>
      <c r="U29" s="323">
        <v>241</v>
      </c>
      <c r="V29" s="323">
        <v>4845</v>
      </c>
      <c r="W29" s="323">
        <v>642</v>
      </c>
      <c r="X29" s="58">
        <v>5487</v>
      </c>
      <c r="Y29" s="242">
        <v>0.11700000000000001</v>
      </c>
    </row>
    <row r="30" spans="1:39" ht="15.75" thickBot="1">
      <c r="A30" s="311" t="s">
        <v>165</v>
      </c>
      <c r="B30" s="325">
        <v>72</v>
      </c>
      <c r="C30" s="325">
        <v>210</v>
      </c>
      <c r="D30" s="325">
        <v>92</v>
      </c>
      <c r="E30" s="325">
        <v>199</v>
      </c>
      <c r="F30" s="325">
        <v>89</v>
      </c>
      <c r="G30" s="325">
        <v>32</v>
      </c>
      <c r="H30" s="325">
        <v>0</v>
      </c>
      <c r="I30" s="325">
        <v>213</v>
      </c>
      <c r="J30" s="325">
        <v>66</v>
      </c>
      <c r="K30" s="325">
        <v>108</v>
      </c>
      <c r="L30" s="325">
        <v>128</v>
      </c>
      <c r="M30" s="325">
        <v>193</v>
      </c>
      <c r="N30" s="325">
        <v>33</v>
      </c>
      <c r="O30" s="325">
        <v>64</v>
      </c>
      <c r="P30" s="325">
        <v>85</v>
      </c>
      <c r="Q30" s="325">
        <v>253</v>
      </c>
      <c r="R30" s="325">
        <v>123</v>
      </c>
      <c r="S30" s="325">
        <v>183</v>
      </c>
      <c r="T30" s="325">
        <v>64</v>
      </c>
      <c r="U30" s="325">
        <v>110</v>
      </c>
      <c r="V30" s="325">
        <v>2317</v>
      </c>
      <c r="W30" s="325">
        <v>352</v>
      </c>
      <c r="X30" s="295">
        <v>2669</v>
      </c>
      <c r="Y30" s="243">
        <v>0.13189999999999999</v>
      </c>
    </row>
    <row r="31" spans="1:39" ht="15.75" thickBot="1">
      <c r="A31" s="311" t="s">
        <v>166</v>
      </c>
      <c r="B31" s="325">
        <v>53</v>
      </c>
      <c r="C31" s="325">
        <v>30</v>
      </c>
      <c r="D31" s="325">
        <v>14</v>
      </c>
      <c r="E31" s="325">
        <v>31</v>
      </c>
      <c r="F31" s="325">
        <v>19</v>
      </c>
      <c r="G31" s="325">
        <v>4</v>
      </c>
      <c r="H31" s="325">
        <v>0</v>
      </c>
      <c r="I31" s="325">
        <v>33</v>
      </c>
      <c r="J31" s="325">
        <v>9</v>
      </c>
      <c r="K31" s="325">
        <v>26</v>
      </c>
      <c r="L31" s="325">
        <v>23</v>
      </c>
      <c r="M31" s="325">
        <v>10</v>
      </c>
      <c r="N31" s="325">
        <v>24</v>
      </c>
      <c r="O31" s="325">
        <v>38</v>
      </c>
      <c r="P31" s="325">
        <v>21</v>
      </c>
      <c r="Q31" s="325">
        <v>37</v>
      </c>
      <c r="R31" s="325">
        <v>23</v>
      </c>
      <c r="S31" s="325">
        <v>30</v>
      </c>
      <c r="T31" s="325">
        <v>1</v>
      </c>
      <c r="U31" s="325">
        <v>43</v>
      </c>
      <c r="V31" s="325">
        <v>469</v>
      </c>
      <c r="W31" s="325">
        <v>24</v>
      </c>
      <c r="X31" s="295">
        <v>493</v>
      </c>
      <c r="Y31" s="243">
        <v>4.87E-2</v>
      </c>
    </row>
    <row r="32" spans="1:39" ht="15.75" thickBot="1">
      <c r="A32" s="311" t="s">
        <v>167</v>
      </c>
      <c r="B32" s="325">
        <v>0</v>
      </c>
      <c r="C32" s="325">
        <v>33</v>
      </c>
      <c r="D32" s="325">
        <v>12</v>
      </c>
      <c r="E32" s="325">
        <v>17</v>
      </c>
      <c r="F32" s="325">
        <v>4</v>
      </c>
      <c r="G32" s="325">
        <v>0</v>
      </c>
      <c r="H32" s="325">
        <v>0</v>
      </c>
      <c r="I32" s="325">
        <v>38</v>
      </c>
      <c r="J32" s="325">
        <v>23</v>
      </c>
      <c r="K32" s="325">
        <v>14</v>
      </c>
      <c r="L32" s="325">
        <v>7</v>
      </c>
      <c r="M32" s="325">
        <v>12</v>
      </c>
      <c r="N32" s="325">
        <v>3</v>
      </c>
      <c r="O32" s="325">
        <v>4</v>
      </c>
      <c r="P32" s="325">
        <v>6</v>
      </c>
      <c r="Q32" s="325">
        <v>9</v>
      </c>
      <c r="R32" s="325">
        <v>10</v>
      </c>
      <c r="S32" s="325">
        <v>8</v>
      </c>
      <c r="T32" s="325">
        <v>9</v>
      </c>
      <c r="U32" s="325">
        <v>0</v>
      </c>
      <c r="V32" s="325">
        <v>209</v>
      </c>
      <c r="W32" s="325">
        <v>14</v>
      </c>
      <c r="X32" s="295">
        <v>223</v>
      </c>
      <c r="Y32" s="243">
        <v>6.2799999999999995E-2</v>
      </c>
    </row>
    <row r="33" spans="1:25" ht="15.75" thickBot="1">
      <c r="A33" s="311" t="s">
        <v>168</v>
      </c>
      <c r="B33" s="325">
        <v>57</v>
      </c>
      <c r="C33" s="325">
        <v>41</v>
      </c>
      <c r="D33" s="325">
        <v>44</v>
      </c>
      <c r="E33" s="325">
        <v>89</v>
      </c>
      <c r="F33" s="325">
        <v>41</v>
      </c>
      <c r="G33" s="325">
        <v>19</v>
      </c>
      <c r="H33" s="325">
        <v>0</v>
      </c>
      <c r="I33" s="325">
        <v>66</v>
      </c>
      <c r="J33" s="325">
        <v>45</v>
      </c>
      <c r="K33" s="325">
        <v>51</v>
      </c>
      <c r="L33" s="325">
        <v>49</v>
      </c>
      <c r="M33" s="325">
        <v>70</v>
      </c>
      <c r="N33" s="325">
        <v>86</v>
      </c>
      <c r="O33" s="325">
        <v>30</v>
      </c>
      <c r="P33" s="325">
        <v>57</v>
      </c>
      <c r="Q33" s="325">
        <v>43</v>
      </c>
      <c r="R33" s="325">
        <v>35</v>
      </c>
      <c r="S33" s="325">
        <v>48</v>
      </c>
      <c r="T33" s="325">
        <v>57</v>
      </c>
      <c r="U33" s="325">
        <v>51</v>
      </c>
      <c r="V33" s="325">
        <v>979</v>
      </c>
      <c r="W33" s="325">
        <v>110</v>
      </c>
      <c r="X33" s="295">
        <v>1089</v>
      </c>
      <c r="Y33" s="243">
        <v>0.10100000000000001</v>
      </c>
    </row>
    <row r="34" spans="1:25" ht="15.75" thickBot="1">
      <c r="A34" s="311" t="s">
        <v>169</v>
      </c>
      <c r="B34" s="325">
        <v>0</v>
      </c>
      <c r="C34" s="325">
        <v>65</v>
      </c>
      <c r="D34" s="325">
        <v>13</v>
      </c>
      <c r="E34" s="325">
        <v>0</v>
      </c>
      <c r="F34" s="325">
        <v>117</v>
      </c>
      <c r="G34" s="325">
        <v>1</v>
      </c>
      <c r="H34" s="325">
        <v>0</v>
      </c>
      <c r="I34" s="325">
        <v>87</v>
      </c>
      <c r="J34" s="325">
        <v>28</v>
      </c>
      <c r="K34" s="325">
        <v>119</v>
      </c>
      <c r="L34" s="325">
        <v>60</v>
      </c>
      <c r="M34" s="325">
        <v>67</v>
      </c>
      <c r="N34" s="325">
        <v>64</v>
      </c>
      <c r="O34" s="325">
        <v>31</v>
      </c>
      <c r="P34" s="325">
        <v>34</v>
      </c>
      <c r="Q34" s="325">
        <v>17</v>
      </c>
      <c r="R34" s="325">
        <v>54</v>
      </c>
      <c r="S34" s="325">
        <v>50</v>
      </c>
      <c r="T34" s="325">
        <v>27</v>
      </c>
      <c r="U34" s="325">
        <v>37</v>
      </c>
      <c r="V34" s="325">
        <v>871</v>
      </c>
      <c r="W34" s="325">
        <v>142</v>
      </c>
      <c r="X34" s="295">
        <v>1013</v>
      </c>
      <c r="Y34" s="243">
        <v>0.14019999999999999</v>
      </c>
    </row>
    <row r="35" spans="1:25" ht="15.75" thickBot="1">
      <c r="A35" s="241" t="s">
        <v>75</v>
      </c>
      <c r="B35" s="323">
        <v>194</v>
      </c>
      <c r="C35" s="323">
        <v>159</v>
      </c>
      <c r="D35" s="323">
        <v>173</v>
      </c>
      <c r="E35" s="323">
        <v>129</v>
      </c>
      <c r="F35" s="323">
        <v>149</v>
      </c>
      <c r="G35" s="323">
        <v>50</v>
      </c>
      <c r="H35" s="323">
        <v>1</v>
      </c>
      <c r="I35" s="323">
        <v>271</v>
      </c>
      <c r="J35" s="323">
        <v>183</v>
      </c>
      <c r="K35" s="323">
        <v>300</v>
      </c>
      <c r="L35" s="323">
        <v>279</v>
      </c>
      <c r="M35" s="323">
        <v>147</v>
      </c>
      <c r="N35" s="323">
        <v>119</v>
      </c>
      <c r="O35" s="323">
        <v>126</v>
      </c>
      <c r="P35" s="323">
        <v>189</v>
      </c>
      <c r="Q35" s="323">
        <v>245</v>
      </c>
      <c r="R35" s="323">
        <v>195</v>
      </c>
      <c r="S35" s="323">
        <v>208</v>
      </c>
      <c r="T35" s="323">
        <v>195</v>
      </c>
      <c r="U35" s="323">
        <v>154</v>
      </c>
      <c r="V35" s="323">
        <v>3466</v>
      </c>
      <c r="W35" s="323">
        <v>380</v>
      </c>
      <c r="X35" s="58">
        <v>3846</v>
      </c>
      <c r="Y35" s="242">
        <v>9.8799999999999999E-2</v>
      </c>
    </row>
    <row r="36" spans="1:25" ht="15.75" thickBot="1">
      <c r="A36" s="311" t="s">
        <v>170</v>
      </c>
      <c r="B36" s="325">
        <v>8</v>
      </c>
      <c r="C36" s="325">
        <v>9</v>
      </c>
      <c r="D36" s="325">
        <v>25</v>
      </c>
      <c r="E36" s="325">
        <v>4</v>
      </c>
      <c r="F36" s="325">
        <v>0</v>
      </c>
      <c r="G36" s="325">
        <v>0</v>
      </c>
      <c r="H36" s="325">
        <v>0</v>
      </c>
      <c r="I36" s="325">
        <v>15</v>
      </c>
      <c r="J36" s="325">
        <v>20</v>
      </c>
      <c r="K36" s="325">
        <v>22</v>
      </c>
      <c r="L36" s="325">
        <v>8</v>
      </c>
      <c r="M36" s="325">
        <v>3</v>
      </c>
      <c r="N36" s="325">
        <v>5</v>
      </c>
      <c r="O36" s="325">
        <v>6</v>
      </c>
      <c r="P36" s="325">
        <v>4</v>
      </c>
      <c r="Q36" s="325">
        <v>1</v>
      </c>
      <c r="R36" s="325">
        <v>27</v>
      </c>
      <c r="S36" s="325">
        <v>25</v>
      </c>
      <c r="T36" s="325">
        <v>18</v>
      </c>
      <c r="U36" s="325">
        <v>6</v>
      </c>
      <c r="V36" s="325">
        <v>206</v>
      </c>
      <c r="W36" s="325">
        <v>27</v>
      </c>
      <c r="X36" s="295">
        <v>233</v>
      </c>
      <c r="Y36" s="243">
        <v>0.1159</v>
      </c>
    </row>
    <row r="37" spans="1:25" ht="15.75" thickBot="1">
      <c r="A37" s="311" t="s">
        <v>171</v>
      </c>
      <c r="B37" s="325">
        <v>34</v>
      </c>
      <c r="C37" s="325">
        <v>0</v>
      </c>
      <c r="D37" s="325">
        <v>5</v>
      </c>
      <c r="E37" s="325">
        <v>42</v>
      </c>
      <c r="F37" s="325">
        <v>42</v>
      </c>
      <c r="G37" s="325">
        <v>0</v>
      </c>
      <c r="H37" s="325">
        <v>0</v>
      </c>
      <c r="I37" s="325">
        <v>67</v>
      </c>
      <c r="J37" s="325">
        <v>48</v>
      </c>
      <c r="K37" s="325">
        <v>74</v>
      </c>
      <c r="L37" s="325">
        <v>77</v>
      </c>
      <c r="M37" s="325">
        <v>26</v>
      </c>
      <c r="N37" s="325">
        <v>30</v>
      </c>
      <c r="O37" s="325">
        <v>0</v>
      </c>
      <c r="P37" s="325">
        <v>43</v>
      </c>
      <c r="Q37" s="325">
        <v>57</v>
      </c>
      <c r="R37" s="325">
        <v>44</v>
      </c>
      <c r="S37" s="325">
        <v>49</v>
      </c>
      <c r="T37" s="325">
        <v>0</v>
      </c>
      <c r="U37" s="325">
        <v>70</v>
      </c>
      <c r="V37" s="325">
        <v>708</v>
      </c>
      <c r="W37" s="325">
        <v>26</v>
      </c>
      <c r="X37" s="295">
        <v>734</v>
      </c>
      <c r="Y37" s="243">
        <v>3.5400000000000001E-2</v>
      </c>
    </row>
    <row r="38" spans="1:25" ht="15.75" thickBot="1">
      <c r="A38" s="311" t="s">
        <v>501</v>
      </c>
      <c r="B38" s="325">
        <v>17</v>
      </c>
      <c r="C38" s="325">
        <v>4</v>
      </c>
      <c r="D38" s="325">
        <v>29</v>
      </c>
      <c r="E38" s="325">
        <v>5</v>
      </c>
      <c r="F38" s="325">
        <v>7</v>
      </c>
      <c r="G38" s="325">
        <v>11</v>
      </c>
      <c r="H38" s="325">
        <v>0</v>
      </c>
      <c r="I38" s="325">
        <v>18</v>
      </c>
      <c r="J38" s="325">
        <v>13</v>
      </c>
      <c r="K38" s="325">
        <v>0</v>
      </c>
      <c r="L38" s="325">
        <v>27</v>
      </c>
      <c r="M38" s="325">
        <v>22</v>
      </c>
      <c r="N38" s="325">
        <v>2</v>
      </c>
      <c r="O38" s="325">
        <v>13</v>
      </c>
      <c r="P38" s="325">
        <v>11</v>
      </c>
      <c r="Q38" s="325">
        <v>8</v>
      </c>
      <c r="R38" s="325">
        <v>20</v>
      </c>
      <c r="S38" s="325">
        <v>9</v>
      </c>
      <c r="T38" s="325">
        <v>8</v>
      </c>
      <c r="U38" s="325">
        <v>7</v>
      </c>
      <c r="V38" s="325">
        <v>231</v>
      </c>
      <c r="W38" s="325">
        <v>56</v>
      </c>
      <c r="X38" s="295">
        <v>287</v>
      </c>
      <c r="Y38" s="243">
        <v>0.1951</v>
      </c>
    </row>
    <row r="39" spans="1:25" ht="15.75" thickBot="1">
      <c r="A39" s="311" t="s">
        <v>172</v>
      </c>
      <c r="B39" s="325">
        <v>29</v>
      </c>
      <c r="C39" s="325">
        <v>36</v>
      </c>
      <c r="D39" s="325">
        <v>15</v>
      </c>
      <c r="E39" s="325">
        <v>32</v>
      </c>
      <c r="F39" s="325">
        <v>3</v>
      </c>
      <c r="G39" s="325">
        <v>0</v>
      </c>
      <c r="H39" s="325">
        <v>0</v>
      </c>
      <c r="I39" s="325">
        <v>34</v>
      </c>
      <c r="J39" s="325">
        <v>38</v>
      </c>
      <c r="K39" s="325">
        <v>66</v>
      </c>
      <c r="L39" s="325">
        <v>2</v>
      </c>
      <c r="M39" s="325">
        <v>38</v>
      </c>
      <c r="N39" s="325">
        <v>12</v>
      </c>
      <c r="O39" s="325">
        <v>26</v>
      </c>
      <c r="P39" s="325">
        <v>24</v>
      </c>
      <c r="Q39" s="325">
        <v>66</v>
      </c>
      <c r="R39" s="325">
        <v>37</v>
      </c>
      <c r="S39" s="325">
        <v>20</v>
      </c>
      <c r="T39" s="325">
        <v>44</v>
      </c>
      <c r="U39" s="325">
        <v>18</v>
      </c>
      <c r="V39" s="325">
        <v>540</v>
      </c>
      <c r="W39" s="327">
        <v>89</v>
      </c>
      <c r="X39" s="244">
        <v>629</v>
      </c>
      <c r="Y39" s="243">
        <v>0.14149999999999999</v>
      </c>
    </row>
    <row r="40" spans="1:25" ht="15.75" thickBot="1">
      <c r="A40" s="311" t="s">
        <v>173</v>
      </c>
      <c r="B40" s="325">
        <v>14</v>
      </c>
      <c r="C40" s="325">
        <v>15</v>
      </c>
      <c r="D40" s="325">
        <v>20</v>
      </c>
      <c r="E40" s="325">
        <v>12</v>
      </c>
      <c r="F40" s="325">
        <v>14</v>
      </c>
      <c r="G40" s="325">
        <v>1</v>
      </c>
      <c r="H40" s="325">
        <v>0</v>
      </c>
      <c r="I40" s="325">
        <v>3</v>
      </c>
      <c r="J40" s="325">
        <v>20</v>
      </c>
      <c r="K40" s="325">
        <v>19</v>
      </c>
      <c r="L40" s="325">
        <v>34</v>
      </c>
      <c r="M40" s="325">
        <v>0</v>
      </c>
      <c r="N40" s="325">
        <v>3</v>
      </c>
      <c r="O40" s="325">
        <v>8</v>
      </c>
      <c r="P40" s="325">
        <v>34</v>
      </c>
      <c r="Q40" s="325">
        <v>29</v>
      </c>
      <c r="R40" s="325">
        <v>0</v>
      </c>
      <c r="S40" s="325">
        <v>20</v>
      </c>
      <c r="T40" s="325">
        <v>4</v>
      </c>
      <c r="U40" s="325">
        <v>17</v>
      </c>
      <c r="V40" s="325">
        <v>267</v>
      </c>
      <c r="W40" s="326">
        <v>3</v>
      </c>
      <c r="X40" s="295">
        <v>270</v>
      </c>
      <c r="Y40" s="243">
        <v>1.11E-2</v>
      </c>
    </row>
    <row r="41" spans="1:25" ht="15.75" thickBot="1">
      <c r="A41" s="311" t="s">
        <v>174</v>
      </c>
      <c r="B41" s="325">
        <v>3</v>
      </c>
      <c r="C41" s="325">
        <v>2</v>
      </c>
      <c r="D41" s="325">
        <v>0</v>
      </c>
      <c r="E41" s="325">
        <v>1</v>
      </c>
      <c r="F41" s="325">
        <v>0</v>
      </c>
      <c r="G41" s="325">
        <v>0</v>
      </c>
      <c r="H41" s="325">
        <v>1</v>
      </c>
      <c r="I41" s="325">
        <v>1</v>
      </c>
      <c r="J41" s="325">
        <v>6</v>
      </c>
      <c r="K41" s="325">
        <v>0</v>
      </c>
      <c r="L41" s="325">
        <v>4</v>
      </c>
      <c r="M41" s="325">
        <v>0</v>
      </c>
      <c r="N41" s="325">
        <v>2</v>
      </c>
      <c r="O41" s="325">
        <v>2</v>
      </c>
      <c r="P41" s="325">
        <v>0</v>
      </c>
      <c r="Q41" s="325">
        <v>4</v>
      </c>
      <c r="R41" s="325">
        <v>2</v>
      </c>
      <c r="S41" s="325">
        <v>5</v>
      </c>
      <c r="T41" s="325">
        <v>3</v>
      </c>
      <c r="U41" s="325">
        <v>0</v>
      </c>
      <c r="V41" s="325">
        <v>36</v>
      </c>
      <c r="W41" s="325">
        <v>3</v>
      </c>
      <c r="X41" s="295">
        <v>39</v>
      </c>
      <c r="Y41" s="243">
        <v>7.6899999999999996E-2</v>
      </c>
    </row>
    <row r="42" spans="1:25" ht="15.75" thickBot="1">
      <c r="A42" s="311" t="s">
        <v>175</v>
      </c>
      <c r="B42" s="325">
        <v>89</v>
      </c>
      <c r="C42" s="325">
        <v>93</v>
      </c>
      <c r="D42" s="325">
        <v>79</v>
      </c>
      <c r="E42" s="325">
        <v>33</v>
      </c>
      <c r="F42" s="325">
        <v>83</v>
      </c>
      <c r="G42" s="325">
        <v>38</v>
      </c>
      <c r="H42" s="325">
        <v>0</v>
      </c>
      <c r="I42" s="325">
        <v>133</v>
      </c>
      <c r="J42" s="325">
        <v>38</v>
      </c>
      <c r="K42" s="325">
        <v>119</v>
      </c>
      <c r="L42" s="325">
        <v>127</v>
      </c>
      <c r="M42" s="325">
        <v>58</v>
      </c>
      <c r="N42" s="325">
        <v>65</v>
      </c>
      <c r="O42" s="325">
        <v>71</v>
      </c>
      <c r="P42" s="325">
        <v>73</v>
      </c>
      <c r="Q42" s="325">
        <v>80</v>
      </c>
      <c r="R42" s="325">
        <v>65</v>
      </c>
      <c r="S42" s="325">
        <v>80</v>
      </c>
      <c r="T42" s="325">
        <v>118</v>
      </c>
      <c r="U42" s="325">
        <v>36</v>
      </c>
      <c r="V42" s="325">
        <v>1478</v>
      </c>
      <c r="W42" s="325">
        <v>176</v>
      </c>
      <c r="X42" s="295">
        <v>1654</v>
      </c>
      <c r="Y42" s="243">
        <v>0.10639999999999999</v>
      </c>
    </row>
    <row r="43" spans="1:25" ht="15.75" thickBot="1">
      <c r="A43" s="239" t="s">
        <v>9</v>
      </c>
      <c r="B43" s="328">
        <v>884</v>
      </c>
      <c r="C43" s="328">
        <v>911</v>
      </c>
      <c r="D43" s="328">
        <v>639</v>
      </c>
      <c r="E43" s="328">
        <v>867</v>
      </c>
      <c r="F43" s="328">
        <v>778</v>
      </c>
      <c r="G43" s="328">
        <v>329</v>
      </c>
      <c r="H43" s="328">
        <v>2</v>
      </c>
      <c r="I43" s="328">
        <v>1143</v>
      </c>
      <c r="J43" s="328">
        <v>756</v>
      </c>
      <c r="K43" s="328">
        <v>916</v>
      </c>
      <c r="L43" s="328">
        <v>1019</v>
      </c>
      <c r="M43" s="328">
        <v>811</v>
      </c>
      <c r="N43" s="328">
        <v>987</v>
      </c>
      <c r="O43" s="328">
        <v>768</v>
      </c>
      <c r="P43" s="328">
        <v>675</v>
      </c>
      <c r="Q43" s="328">
        <v>873</v>
      </c>
      <c r="R43" s="328">
        <v>1047</v>
      </c>
      <c r="S43" s="328">
        <v>837</v>
      </c>
      <c r="T43" s="328">
        <v>642</v>
      </c>
      <c r="U43" s="328">
        <v>825</v>
      </c>
      <c r="V43" s="328">
        <v>15709</v>
      </c>
      <c r="W43" s="328">
        <v>1555</v>
      </c>
      <c r="X43" s="240">
        <v>17264</v>
      </c>
      <c r="Y43" s="245">
        <v>9.01E-2</v>
      </c>
    </row>
  </sheetData>
  <mergeCells count="20">
    <mergeCell ref="B1:C1"/>
    <mergeCell ref="D1:E1"/>
    <mergeCell ref="F1:G1"/>
    <mergeCell ref="H1:I1"/>
    <mergeCell ref="J1:K1"/>
    <mergeCell ref="L1:M1"/>
    <mergeCell ref="N1:O1"/>
    <mergeCell ref="P1:Q1"/>
    <mergeCell ref="R1:S1"/>
    <mergeCell ref="T1:U1"/>
    <mergeCell ref="V1:W1"/>
    <mergeCell ref="X1:Y1"/>
    <mergeCell ref="Z1:AA1"/>
    <mergeCell ref="AB1:AC1"/>
    <mergeCell ref="AD1:AE1"/>
    <mergeCell ref="AF1:AG1"/>
    <mergeCell ref="AH1:AI1"/>
    <mergeCell ref="AJ1:AK1"/>
    <mergeCell ref="AL1:AL2"/>
    <mergeCell ref="AM1:AM2"/>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81B92-7102-486F-913B-0E1A5B3A9DED}">
  <sheetPr>
    <tabColor rgb="FF00B050"/>
  </sheetPr>
  <dimension ref="A1:AF117"/>
  <sheetViews>
    <sheetView showGridLines="0" zoomScale="75" zoomScaleNormal="75" workbookViewId="0">
      <selection activeCell="G23" sqref="G23"/>
    </sheetView>
  </sheetViews>
  <sheetFormatPr defaultRowHeight="15"/>
  <cols>
    <col min="1" max="1" width="11.42578125" customWidth="1"/>
    <col min="2" max="2" width="27.7109375" bestFit="1" customWidth="1"/>
    <col min="3" max="3" width="16.28515625" style="1" customWidth="1"/>
    <col min="4" max="8" width="12.140625" style="1" bestFit="1" customWidth="1"/>
    <col min="9" max="9" width="17.42578125" style="1" bestFit="1" customWidth="1"/>
    <col min="10" max="11" width="12.7109375" style="1" customWidth="1"/>
    <col min="12" max="12" width="13.140625" style="1" bestFit="1" customWidth="1"/>
    <col min="13" max="13" width="12.7109375" style="1" customWidth="1"/>
    <col min="14" max="14" width="20.28515625" style="1" bestFit="1" customWidth="1"/>
    <col min="15" max="15" width="12.28515625" style="1" customWidth="1"/>
    <col min="16" max="16" width="19" style="2" bestFit="1" customWidth="1"/>
    <col min="17" max="17" width="21.140625" style="1" bestFit="1" customWidth="1"/>
    <col min="18" max="21" width="13.140625" style="1" bestFit="1" customWidth="1"/>
    <col min="22" max="22" width="13.42578125" style="1" bestFit="1" customWidth="1"/>
    <col min="23" max="23" width="13.140625" style="1" bestFit="1" customWidth="1"/>
    <col min="24" max="32" width="13.42578125" style="1" bestFit="1" customWidth="1"/>
    <col min="33" max="33" width="7" customWidth="1"/>
    <col min="34" max="34" width="6.5703125" customWidth="1"/>
    <col min="35" max="35" width="7.7109375" bestFit="1" customWidth="1"/>
    <col min="36" max="36" width="7" customWidth="1"/>
    <col min="37" max="37" width="5.85546875" customWidth="1"/>
    <col min="38" max="38" width="7.7109375" bestFit="1" customWidth="1"/>
    <col min="39" max="39" width="7" customWidth="1"/>
    <col min="40" max="40" width="6.5703125" customWidth="1"/>
    <col min="41" max="41" width="5.85546875" customWidth="1"/>
    <col min="42" max="42" width="7" customWidth="1"/>
    <col min="43" max="43" width="6.5703125" customWidth="1"/>
    <col min="44" max="44" width="5.42578125" customWidth="1"/>
    <col min="45" max="45" width="7" customWidth="1"/>
    <col min="46" max="46" width="6.5703125" customWidth="1"/>
    <col min="47" max="47" width="5.42578125" customWidth="1"/>
    <col min="48" max="48" width="9.140625" customWidth="1"/>
  </cols>
  <sheetData>
    <row r="1" spans="1:32">
      <c r="A1" s="439" t="s">
        <v>1047</v>
      </c>
      <c r="B1" s="439"/>
      <c r="C1" s="439"/>
      <c r="D1" s="439"/>
      <c r="E1" s="439"/>
      <c r="F1" s="439"/>
      <c r="G1" s="439"/>
      <c r="H1" s="439"/>
      <c r="I1" s="439"/>
      <c r="J1" s="439"/>
      <c r="K1" s="439"/>
      <c r="L1" s="439"/>
      <c r="M1" s="439"/>
      <c r="N1" s="439"/>
      <c r="O1" s="439"/>
      <c r="P1" s="439"/>
      <c r="Q1" s="439"/>
      <c r="R1"/>
      <c r="S1"/>
      <c r="T1"/>
      <c r="U1"/>
      <c r="V1"/>
      <c r="W1"/>
      <c r="X1"/>
      <c r="Y1"/>
      <c r="Z1"/>
      <c r="AA1"/>
      <c r="AB1"/>
      <c r="AC1"/>
      <c r="AD1"/>
      <c r="AE1"/>
      <c r="AF1"/>
    </row>
    <row r="2" spans="1:32">
      <c r="A2" s="440" t="s">
        <v>13</v>
      </c>
      <c r="B2" s="440"/>
      <c r="C2" s="440"/>
      <c r="D2" s="440"/>
      <c r="E2" s="440"/>
      <c r="F2" s="440"/>
      <c r="G2" s="440"/>
      <c r="H2" s="440"/>
      <c r="I2" s="440"/>
      <c r="J2" s="440"/>
      <c r="K2" s="440"/>
      <c r="L2" s="440"/>
      <c r="M2" s="440"/>
      <c r="N2" s="440"/>
      <c r="O2" s="440"/>
      <c r="P2" s="440"/>
      <c r="Q2" s="440"/>
      <c r="R2"/>
      <c r="S2"/>
      <c r="T2"/>
      <c r="U2"/>
      <c r="V2"/>
      <c r="W2"/>
      <c r="X2"/>
      <c r="Y2"/>
      <c r="Z2"/>
      <c r="AA2"/>
      <c r="AB2"/>
      <c r="AC2"/>
      <c r="AD2"/>
      <c r="AE2"/>
      <c r="AF2"/>
    </row>
    <row r="3" spans="1:32">
      <c r="A3" s="441">
        <f>W4</f>
        <v>0</v>
      </c>
      <c r="B3" s="442" t="s">
        <v>1048</v>
      </c>
      <c r="C3" s="443" t="s">
        <v>1049</v>
      </c>
      <c r="D3" s="442" t="s">
        <v>69</v>
      </c>
      <c r="E3" s="442"/>
      <c r="F3" s="442" t="s">
        <v>5</v>
      </c>
      <c r="G3" s="442"/>
      <c r="H3" s="442" t="s">
        <v>23</v>
      </c>
      <c r="I3" s="442"/>
      <c r="J3" s="442" t="s">
        <v>470</v>
      </c>
      <c r="K3" s="442"/>
      <c r="L3" s="442" t="s">
        <v>0</v>
      </c>
      <c r="M3" s="442"/>
      <c r="N3" s="443" t="s">
        <v>471</v>
      </c>
      <c r="O3" s="443" t="s">
        <v>1050</v>
      </c>
      <c r="P3" s="442" t="s">
        <v>20</v>
      </c>
      <c r="Q3" s="442" t="s">
        <v>490</v>
      </c>
      <c r="R3"/>
      <c r="S3"/>
      <c r="T3"/>
      <c r="U3"/>
      <c r="V3"/>
      <c r="W3"/>
      <c r="X3"/>
      <c r="Y3"/>
      <c r="Z3"/>
      <c r="AA3"/>
      <c r="AB3"/>
      <c r="AC3"/>
      <c r="AD3"/>
      <c r="AE3"/>
      <c r="AF3"/>
    </row>
    <row r="4" spans="1:32">
      <c r="A4" s="441"/>
      <c r="B4" s="442"/>
      <c r="C4" s="442"/>
      <c r="D4" s="329" t="s">
        <v>1051</v>
      </c>
      <c r="E4" s="329" t="s">
        <v>1052</v>
      </c>
      <c r="F4" s="329" t="s">
        <v>1053</v>
      </c>
      <c r="G4" s="329" t="s">
        <v>7</v>
      </c>
      <c r="H4" s="329" t="s">
        <v>1053</v>
      </c>
      <c r="I4" s="329" t="s">
        <v>469</v>
      </c>
      <c r="J4" s="329" t="s">
        <v>1054</v>
      </c>
      <c r="K4" s="329" t="s">
        <v>7</v>
      </c>
      <c r="L4" s="329" t="s">
        <v>1054</v>
      </c>
      <c r="M4" s="329" t="s">
        <v>7</v>
      </c>
      <c r="N4" s="442"/>
      <c r="O4" s="442"/>
      <c r="P4" s="442"/>
      <c r="Q4" s="442"/>
      <c r="R4"/>
      <c r="S4"/>
      <c r="T4"/>
      <c r="U4"/>
      <c r="V4"/>
      <c r="W4"/>
      <c r="X4"/>
      <c r="Y4"/>
      <c r="Z4"/>
      <c r="AA4"/>
      <c r="AB4"/>
      <c r="AC4"/>
      <c r="AD4"/>
      <c r="AE4"/>
      <c r="AF4"/>
    </row>
    <row r="5" spans="1:32">
      <c r="A5" s="441"/>
      <c r="B5" s="18" t="s">
        <v>1055</v>
      </c>
      <c r="C5" s="17">
        <f>'[8]Electronic Payment'!C164</f>
        <v>0</v>
      </c>
      <c r="D5" s="17">
        <f>'[8]Auction Repo'!C146</f>
        <v>0</v>
      </c>
      <c r="E5" s="17">
        <f>SUM('[8]Auction Repo'!C146:C152)</f>
        <v>0</v>
      </c>
      <c r="F5" s="17">
        <f>'[8]Online Decision'!C147</f>
        <v>0</v>
      </c>
      <c r="G5" s="17">
        <f>'[8]Online Decision'!C148</f>
        <v>0</v>
      </c>
      <c r="H5" s="17">
        <f>'[8]PCF Processing'!C137</f>
        <v>1204</v>
      </c>
      <c r="I5" s="17">
        <f>'[8]PCF Processing'!D137</f>
        <v>0</v>
      </c>
      <c r="J5" s="17">
        <f>'[8]OP Research Refund'!C183</f>
        <v>0</v>
      </c>
      <c r="K5" s="17">
        <f>'[8]OP Research Refund'!D183</f>
        <v>0</v>
      </c>
      <c r="L5" s="17">
        <f>'[8]PCF Review'!C153</f>
        <v>0</v>
      </c>
      <c r="M5" s="17">
        <f>'[8]PCF Review'!D153</f>
        <v>0</v>
      </c>
      <c r="N5" s="17">
        <f>'[8]Wells Fargo Audit'!C167</f>
        <v>0</v>
      </c>
      <c r="O5" s="17">
        <f>'[8]Additional Task'!C69</f>
        <v>0</v>
      </c>
      <c r="P5" s="330">
        <f t="shared" ref="P5:P15" si="0">SUM(C5:O5)</f>
        <v>1204</v>
      </c>
      <c r="Q5" s="18">
        <f t="shared" ref="Q5:Q15" si="1">COUNTIF(C5:N5,"&gt;0")</f>
        <v>1</v>
      </c>
      <c r="R5"/>
      <c r="S5"/>
      <c r="T5"/>
      <c r="U5"/>
      <c r="V5"/>
      <c r="W5"/>
      <c r="X5"/>
      <c r="Y5"/>
      <c r="Z5"/>
      <c r="AA5"/>
      <c r="AB5"/>
      <c r="AC5"/>
      <c r="AD5"/>
      <c r="AE5"/>
      <c r="AF5"/>
    </row>
    <row r="6" spans="1:32">
      <c r="A6" s="441"/>
      <c r="B6" s="18" t="s">
        <v>1056</v>
      </c>
      <c r="C6" s="17">
        <f>'[8]Electronic Payment'!C44</f>
        <v>0</v>
      </c>
      <c r="D6" s="17">
        <f>'[8]Auction Repo'!C36</f>
        <v>0</v>
      </c>
      <c r="E6" s="17">
        <f>SUM('[8]Auction Repo'!C37:C42)</f>
        <v>0</v>
      </c>
      <c r="F6" s="17">
        <f>'[8]Online Decision'!C37</f>
        <v>0</v>
      </c>
      <c r="G6" s="17">
        <f>'[8]Online Decision'!C38</f>
        <v>0</v>
      </c>
      <c r="H6" s="17">
        <f>'[8]PCF Processing'!C37</f>
        <v>0</v>
      </c>
      <c r="I6" s="17">
        <f>'[8]PCF Processing'!D37</f>
        <v>0</v>
      </c>
      <c r="J6" s="17">
        <f>'[8]OP Research Refund'!C51</f>
        <v>0</v>
      </c>
      <c r="K6" s="17">
        <f>'[8]OP Research Refund'!D51</f>
        <v>0</v>
      </c>
      <c r="L6" s="17">
        <f>'[8]PCF Review'!C43</f>
        <v>0</v>
      </c>
      <c r="M6" s="17">
        <f>'[8]PCF Review'!D43</f>
        <v>0</v>
      </c>
      <c r="N6" s="17">
        <f>'[8]Wells Fargo Audit'!C47</f>
        <v>1943</v>
      </c>
      <c r="O6" s="17">
        <f>'[8]Additional Task'!C19</f>
        <v>0</v>
      </c>
      <c r="P6" s="330">
        <f t="shared" si="0"/>
        <v>1943</v>
      </c>
      <c r="Q6" s="18">
        <f t="shared" si="1"/>
        <v>1</v>
      </c>
      <c r="R6"/>
      <c r="S6"/>
      <c r="T6"/>
      <c r="U6"/>
      <c r="V6"/>
      <c r="W6"/>
      <c r="X6"/>
      <c r="Y6"/>
      <c r="Z6"/>
      <c r="AA6"/>
      <c r="AB6"/>
      <c r="AC6"/>
      <c r="AD6"/>
      <c r="AE6"/>
      <c r="AF6"/>
    </row>
    <row r="7" spans="1:32">
      <c r="A7" s="441"/>
      <c r="B7" s="18" t="s">
        <v>1057</v>
      </c>
      <c r="C7" s="17">
        <f>'[8]Electronic Payment'!C116</f>
        <v>267</v>
      </c>
      <c r="D7" s="17">
        <f>'[8]Auction Repo'!C102</f>
        <v>0</v>
      </c>
      <c r="E7" s="17">
        <f>SUM('[8]Auction Repo'!C103:C108)</f>
        <v>0</v>
      </c>
      <c r="F7" s="17">
        <f>'[8]Online Decision'!C103</f>
        <v>2105</v>
      </c>
      <c r="G7" s="17">
        <f>'[8]Online Decision'!C104</f>
        <v>89</v>
      </c>
      <c r="H7" s="17">
        <f>'[8]PCF Processing'!C97</f>
        <v>0</v>
      </c>
      <c r="I7" s="17">
        <f>'[8]PCF Processing'!D97</f>
        <v>0</v>
      </c>
      <c r="J7" s="17">
        <f>'[8]OP Research Refund'!C129</f>
        <v>0</v>
      </c>
      <c r="K7" s="17">
        <f>'[8]OP Research Refund'!D129</f>
        <v>0</v>
      </c>
      <c r="L7" s="17">
        <f>'[8]PCF Review'!C109</f>
        <v>0</v>
      </c>
      <c r="M7" s="17">
        <f>'[8]PCF Review'!D109</f>
        <v>0</v>
      </c>
      <c r="N7" s="17">
        <f>'[8]Wells Fargo Audit'!C119</f>
        <v>61</v>
      </c>
      <c r="O7" s="17">
        <f>'[8]Additional Task'!C49</f>
        <v>0</v>
      </c>
      <c r="P7" s="330">
        <f t="shared" si="0"/>
        <v>2522</v>
      </c>
      <c r="Q7" s="18">
        <f t="shared" si="1"/>
        <v>4</v>
      </c>
      <c r="R7"/>
      <c r="S7"/>
      <c r="T7"/>
      <c r="U7"/>
      <c r="V7"/>
      <c r="W7"/>
      <c r="X7"/>
      <c r="Y7"/>
      <c r="Z7"/>
      <c r="AA7"/>
      <c r="AB7"/>
      <c r="AC7"/>
      <c r="AD7"/>
      <c r="AE7"/>
      <c r="AF7"/>
    </row>
    <row r="8" spans="1:32">
      <c r="A8" s="441"/>
      <c r="B8" s="18" t="s">
        <v>1058</v>
      </c>
      <c r="C8" s="17">
        <f>'[8]Electronic Payment'!C128</f>
        <v>262</v>
      </c>
      <c r="D8" s="17">
        <f>'[8]Auction Repo'!C113</f>
        <v>0</v>
      </c>
      <c r="E8" s="17">
        <f>SUM('[8]Auction Repo'!C114:C119)</f>
        <v>0</v>
      </c>
      <c r="F8" s="17">
        <f>'[8]Online Decision'!C114</f>
        <v>0</v>
      </c>
      <c r="G8" s="17">
        <f>'[8]Online Decision'!C115</f>
        <v>0</v>
      </c>
      <c r="H8" s="17">
        <f>'[8]PCF Processing'!C107</f>
        <v>0</v>
      </c>
      <c r="I8" s="17">
        <f>'[8]PCF Processing'!D107</f>
        <v>0</v>
      </c>
      <c r="J8" s="17">
        <f>'[8]OP Research Refund'!C142</f>
        <v>0</v>
      </c>
      <c r="K8" s="17">
        <f>'[8]OP Research Refund'!D142</f>
        <v>0</v>
      </c>
      <c r="L8" s="17">
        <f>'[8]PCF Review'!C120</f>
        <v>0</v>
      </c>
      <c r="M8" s="17">
        <f>'[8]PCF Review'!D120</f>
        <v>0</v>
      </c>
      <c r="N8" s="17">
        <f>'[8]Wells Fargo Audit'!C131</f>
        <v>2809</v>
      </c>
      <c r="O8" s="17">
        <f>'[8]Additional Task'!C54</f>
        <v>0</v>
      </c>
      <c r="P8" s="330">
        <f t="shared" si="0"/>
        <v>3071</v>
      </c>
      <c r="Q8" s="18">
        <f t="shared" si="1"/>
        <v>2</v>
      </c>
      <c r="R8"/>
      <c r="S8"/>
      <c r="T8"/>
      <c r="U8"/>
      <c r="V8"/>
      <c r="W8"/>
      <c r="X8"/>
      <c r="Y8"/>
      <c r="Z8"/>
      <c r="AA8"/>
      <c r="AB8"/>
      <c r="AC8"/>
      <c r="AD8"/>
      <c r="AE8"/>
      <c r="AF8"/>
    </row>
    <row r="9" spans="1:32">
      <c r="A9" s="441"/>
      <c r="B9" s="18" t="s">
        <v>1059</v>
      </c>
      <c r="C9" s="17">
        <f>'[8]Electronic Payment'!C140</f>
        <v>0</v>
      </c>
      <c r="D9" s="17">
        <f>'[8]Auction Repo'!C124</f>
        <v>0</v>
      </c>
      <c r="E9" s="17">
        <f>SUM('[8]Auction Repo'!C125:C130)</f>
        <v>0</v>
      </c>
      <c r="F9" s="17">
        <f>'[8]Online Decision'!C125</f>
        <v>0</v>
      </c>
      <c r="G9" s="17">
        <f>'[8]Online Decision'!C126</f>
        <v>0</v>
      </c>
      <c r="H9" s="17">
        <f>'[8]PCF Processing'!C117</f>
        <v>0</v>
      </c>
      <c r="I9" s="17">
        <f>'[8]PCF Processing'!D117</f>
        <v>0</v>
      </c>
      <c r="J9" s="17">
        <f>'[8]OP Research Refund'!C155</f>
        <v>214</v>
      </c>
      <c r="K9" s="17">
        <f>'[8]OP Research Refund'!D155</f>
        <v>439</v>
      </c>
      <c r="L9" s="17">
        <f>'[8]PCF Review'!C131</f>
        <v>1674</v>
      </c>
      <c r="M9" s="17">
        <f>'[8]PCF Review'!D131</f>
        <v>35</v>
      </c>
      <c r="N9" s="17">
        <f>'[8]Wells Fargo Audit'!C143</f>
        <v>0</v>
      </c>
      <c r="O9" s="17">
        <f>'[8]Additional Task'!C59</f>
        <v>0</v>
      </c>
      <c r="P9" s="330">
        <f t="shared" si="0"/>
        <v>2362</v>
      </c>
      <c r="Q9" s="18">
        <f t="shared" si="1"/>
        <v>4</v>
      </c>
      <c r="R9"/>
      <c r="S9"/>
      <c r="T9"/>
      <c r="U9"/>
      <c r="V9"/>
      <c r="W9"/>
      <c r="X9"/>
      <c r="Y9"/>
      <c r="Z9"/>
      <c r="AA9"/>
      <c r="AB9"/>
      <c r="AC9"/>
      <c r="AD9"/>
      <c r="AE9"/>
      <c r="AF9"/>
    </row>
    <row r="10" spans="1:32">
      <c r="A10" s="441"/>
      <c r="B10" s="18" t="s">
        <v>1060</v>
      </c>
      <c r="C10" s="17">
        <f>'[8]Electronic Payment'!C68</f>
        <v>0</v>
      </c>
      <c r="D10" s="17">
        <f>'[8]Auction Repo'!C58</f>
        <v>0</v>
      </c>
      <c r="E10" s="17">
        <f>SUM('[8]Auction Repo'!C59:C64)</f>
        <v>0</v>
      </c>
      <c r="F10" s="17">
        <f>'[8]Online Decision'!C59</f>
        <v>47</v>
      </c>
      <c r="G10" s="17">
        <f>'[8]Online Decision'!C60</f>
        <v>3</v>
      </c>
      <c r="H10" s="17">
        <f>'[8]PCF Processing'!C57</f>
        <v>1546</v>
      </c>
      <c r="I10" s="17">
        <f>'[8]PCF Processing'!D57</f>
        <v>0</v>
      </c>
      <c r="J10" s="17">
        <f>'[8]OP Research Refund'!C77</f>
        <v>0</v>
      </c>
      <c r="K10" s="17">
        <f>'[8]OP Research Refund'!D77</f>
        <v>0</v>
      </c>
      <c r="L10" s="17">
        <f>'[8]PCF Review'!C65</f>
        <v>0</v>
      </c>
      <c r="M10" s="17">
        <f>'[8]PCF Review'!D65</f>
        <v>0</v>
      </c>
      <c r="N10" s="17">
        <f>'[8]Wells Fargo Audit'!C71</f>
        <v>0</v>
      </c>
      <c r="O10" s="17">
        <f>'[8]Additional Task'!C29</f>
        <v>0</v>
      </c>
      <c r="P10" s="330">
        <f t="shared" si="0"/>
        <v>1596</v>
      </c>
      <c r="Q10" s="18">
        <f t="shared" si="1"/>
        <v>3</v>
      </c>
      <c r="R10"/>
      <c r="S10"/>
      <c r="T10"/>
      <c r="U10"/>
      <c r="V10"/>
      <c r="W10"/>
      <c r="X10"/>
      <c r="Y10"/>
      <c r="Z10"/>
      <c r="AA10"/>
      <c r="AB10"/>
      <c r="AC10"/>
      <c r="AD10"/>
      <c r="AE10"/>
      <c r="AF10"/>
    </row>
    <row r="11" spans="1:32">
      <c r="A11" s="441"/>
      <c r="B11" s="18" t="s">
        <v>1061</v>
      </c>
      <c r="C11" s="17">
        <f>'[8]Electronic Payment'!C80</f>
        <v>0</v>
      </c>
      <c r="D11" s="17">
        <f>'[8]Auction Repo'!C69</f>
        <v>0</v>
      </c>
      <c r="E11" s="17">
        <f>SUM('[8]Auction Repo'!C70:C75)</f>
        <v>1884</v>
      </c>
      <c r="F11" s="17">
        <f>'[8]Online Decision'!C70</f>
        <v>0</v>
      </c>
      <c r="G11" s="17">
        <f>'[8]Online Decision'!C71</f>
        <v>0</v>
      </c>
      <c r="H11" s="17">
        <f>'[8]PCF Processing'!C67</f>
        <v>0</v>
      </c>
      <c r="I11" s="17">
        <f>'[8]PCF Processing'!D67</f>
        <v>0</v>
      </c>
      <c r="J11" s="17">
        <f>'[8]OP Research Refund'!C90</f>
        <v>0</v>
      </c>
      <c r="K11" s="17">
        <f>'[8]OP Research Refund'!D90</f>
        <v>0</v>
      </c>
      <c r="L11" s="17">
        <f>'[8]PCF Review'!C76</f>
        <v>10</v>
      </c>
      <c r="M11" s="17">
        <f>'[8]PCF Review'!D76</f>
        <v>0</v>
      </c>
      <c r="N11" s="17">
        <f>'[8]Wells Fargo Audit'!C83</f>
        <v>0</v>
      </c>
      <c r="O11" s="17">
        <f>'[8]Additional Task'!C34</f>
        <v>0</v>
      </c>
      <c r="P11" s="330">
        <f t="shared" si="0"/>
        <v>1894</v>
      </c>
      <c r="Q11" s="18">
        <f t="shared" si="1"/>
        <v>2</v>
      </c>
      <c r="R11"/>
      <c r="S11"/>
      <c r="T11"/>
      <c r="U11"/>
      <c r="V11"/>
      <c r="W11"/>
      <c r="X11"/>
      <c r="Y11"/>
      <c r="Z11"/>
      <c r="AA11"/>
      <c r="AB11"/>
      <c r="AC11"/>
      <c r="AD11"/>
      <c r="AE11"/>
      <c r="AF11"/>
    </row>
    <row r="12" spans="1:32">
      <c r="A12" s="441"/>
      <c r="B12" s="18" t="s">
        <v>1062</v>
      </c>
      <c r="C12" s="17">
        <f>'[8]Electronic Payment'!C92</f>
        <v>0</v>
      </c>
      <c r="D12" s="17">
        <f>'[8]Auction Repo'!C80</f>
        <v>0</v>
      </c>
      <c r="E12" s="17">
        <f>SUM('[8]Auction Repo'!C81:C86)</f>
        <v>0</v>
      </c>
      <c r="F12" s="17">
        <f>'[8]Online Decision'!C81</f>
        <v>0</v>
      </c>
      <c r="G12" s="17">
        <f>'[8]Online Decision'!C82</f>
        <v>0</v>
      </c>
      <c r="H12" s="17">
        <f>'[8]PCF Processing'!C77</f>
        <v>0</v>
      </c>
      <c r="I12" s="17">
        <f>'[8]PCF Processing'!D77</f>
        <v>0</v>
      </c>
      <c r="J12" s="17">
        <f>'[8]OP Research Refund'!C103</f>
        <v>0</v>
      </c>
      <c r="K12" s="17">
        <f>'[8]OP Research Refund'!D103</f>
        <v>0</v>
      </c>
      <c r="L12" s="17">
        <f>'[8]PCF Review'!C87</f>
        <v>0</v>
      </c>
      <c r="M12" s="17">
        <f>'[8]PCF Review'!D87</f>
        <v>0</v>
      </c>
      <c r="N12" s="17">
        <f>'[8]Wells Fargo Audit'!C95</f>
        <v>2795</v>
      </c>
      <c r="O12" s="17">
        <f>'[8]Additional Task'!C39</f>
        <v>0</v>
      </c>
      <c r="P12" s="330">
        <f t="shared" si="0"/>
        <v>2795</v>
      </c>
      <c r="Q12" s="18">
        <f t="shared" si="1"/>
        <v>1</v>
      </c>
      <c r="R12"/>
      <c r="S12"/>
      <c r="T12"/>
      <c r="U12"/>
      <c r="V12"/>
      <c r="W12"/>
      <c r="X12"/>
      <c r="Y12"/>
      <c r="Z12"/>
      <c r="AA12"/>
      <c r="AB12"/>
      <c r="AC12"/>
      <c r="AD12"/>
      <c r="AE12"/>
      <c r="AF12"/>
    </row>
    <row r="13" spans="1:32">
      <c r="A13" s="441"/>
      <c r="B13" s="18" t="s">
        <v>1063</v>
      </c>
      <c r="C13" s="17">
        <f>'[8]Electronic Payment'!C32</f>
        <v>0</v>
      </c>
      <c r="D13" s="17">
        <f>'[8]Auction Repo'!C25</f>
        <v>0</v>
      </c>
      <c r="E13" s="17">
        <f>SUM('[8]Auction Repo'!C26:C31)</f>
        <v>0</v>
      </c>
      <c r="F13" s="17">
        <f>'[8]Online Decision'!C26</f>
        <v>0</v>
      </c>
      <c r="G13" s="17">
        <f>'[8]Online Decision'!C27</f>
        <v>0</v>
      </c>
      <c r="H13" s="17">
        <f>'[8]PCF Processing'!C27</f>
        <v>0</v>
      </c>
      <c r="I13" s="17">
        <f>'[8]PCF Processing'!D27</f>
        <v>0</v>
      </c>
      <c r="J13" s="17">
        <f>'[8]OP Research Refund'!C38</f>
        <v>24</v>
      </c>
      <c r="K13" s="17">
        <f>'[8]OP Research Refund'!D38</f>
        <v>52</v>
      </c>
      <c r="L13" s="17">
        <f>'[8]PCF Review'!C32</f>
        <v>2237</v>
      </c>
      <c r="M13" s="17">
        <f>'[8]PCF Review'!D32</f>
        <v>81</v>
      </c>
      <c r="N13" s="17">
        <f>'[8]Wells Fargo Audit'!C35</f>
        <v>0</v>
      </c>
      <c r="O13" s="17">
        <f>'[8]Additional Task'!C14</f>
        <v>0</v>
      </c>
      <c r="P13" s="330">
        <f t="shared" si="0"/>
        <v>2394</v>
      </c>
      <c r="Q13" s="18">
        <f t="shared" si="1"/>
        <v>4</v>
      </c>
      <c r="R13"/>
      <c r="S13"/>
      <c r="T13"/>
      <c r="U13"/>
      <c r="V13"/>
      <c r="W13"/>
      <c r="X13"/>
      <c r="Y13"/>
      <c r="Z13"/>
      <c r="AA13"/>
      <c r="AB13"/>
      <c r="AC13"/>
      <c r="AD13"/>
      <c r="AE13"/>
      <c r="AF13"/>
    </row>
    <row r="14" spans="1:32">
      <c r="A14" s="441"/>
      <c r="B14" s="18" t="s">
        <v>1064</v>
      </c>
      <c r="C14" s="17">
        <f>'[8]Electronic Payment'!C152</f>
        <v>0</v>
      </c>
      <c r="D14" s="17">
        <f>'[8]Auction Repo'!C135</f>
        <v>0</v>
      </c>
      <c r="E14" s="17">
        <f>SUM('[8]Auction Repo'!C136:C141)</f>
        <v>0</v>
      </c>
      <c r="F14" s="17">
        <f>'[8]Online Decision'!C136</f>
        <v>0</v>
      </c>
      <c r="G14" s="17">
        <f>'[8]Online Decision'!C137</f>
        <v>0</v>
      </c>
      <c r="H14" s="17">
        <f>'[8]PCF Processing'!C127</f>
        <v>1110</v>
      </c>
      <c r="I14" s="17">
        <f>'[8]PCF Processing'!D127</f>
        <v>91</v>
      </c>
      <c r="J14" s="17">
        <f>'[8]OP Research Refund'!C169</f>
        <v>0</v>
      </c>
      <c r="K14" s="17">
        <f>'[8]OP Research Refund'!D169</f>
        <v>0</v>
      </c>
      <c r="L14" s="17">
        <f>'[8]PCF Review'!C142</f>
        <v>0</v>
      </c>
      <c r="M14" s="17">
        <f>'[8]PCF Review'!D142</f>
        <v>0</v>
      </c>
      <c r="N14" s="17">
        <f>'[8]Wells Fargo Audit'!C155</f>
        <v>0</v>
      </c>
      <c r="O14" s="17">
        <f>'[8]Additional Task'!C64</f>
        <v>0</v>
      </c>
      <c r="P14" s="330">
        <f t="shared" si="0"/>
        <v>1201</v>
      </c>
      <c r="Q14" s="18">
        <f t="shared" si="1"/>
        <v>2</v>
      </c>
      <c r="R14"/>
      <c r="S14"/>
      <c r="T14"/>
      <c r="U14"/>
      <c r="V14"/>
      <c r="W14"/>
      <c r="X14"/>
      <c r="Y14"/>
      <c r="Z14"/>
      <c r="AA14"/>
      <c r="AB14"/>
      <c r="AC14"/>
      <c r="AD14"/>
      <c r="AE14"/>
      <c r="AF14"/>
    </row>
    <row r="15" spans="1:32">
      <c r="A15" s="441"/>
      <c r="B15" s="18" t="s">
        <v>1065</v>
      </c>
      <c r="C15" s="17">
        <f>'[8]Electronic Payment'!C104</f>
        <v>0</v>
      </c>
      <c r="D15" s="17">
        <f>'[8]Auction Repo'!C91</f>
        <v>4702</v>
      </c>
      <c r="E15" s="17">
        <f>SUM('[8]Auction Repo'!C92:C97)</f>
        <v>0</v>
      </c>
      <c r="F15" s="17">
        <f>'[8]Online Decision'!C92</f>
        <v>23</v>
      </c>
      <c r="G15" s="17">
        <f>'[8]Online Decision'!C93</f>
        <v>4</v>
      </c>
      <c r="H15" s="17">
        <f>'[8]PCF Processing'!C87</f>
        <v>0</v>
      </c>
      <c r="I15" s="17">
        <f>'[8]PCF Processing'!D87</f>
        <v>0</v>
      </c>
      <c r="J15" s="17">
        <f>'[8]OP Research Refund'!C116</f>
        <v>0</v>
      </c>
      <c r="K15" s="17">
        <f>'[8]OP Research Refund'!D116</f>
        <v>0</v>
      </c>
      <c r="L15" s="17">
        <f>'[8]PCF Review'!C98</f>
        <v>0</v>
      </c>
      <c r="M15" s="17">
        <f>'[8]PCF Review'!D98</f>
        <v>0</v>
      </c>
      <c r="N15" s="17">
        <f>'[8]Wells Fargo Audit'!C107</f>
        <v>0</v>
      </c>
      <c r="O15" s="17">
        <f>'[8]Additional Task'!C44</f>
        <v>0</v>
      </c>
      <c r="P15" s="330">
        <f t="shared" si="0"/>
        <v>4729</v>
      </c>
      <c r="Q15" s="18">
        <f t="shared" si="1"/>
        <v>3</v>
      </c>
      <c r="R15"/>
      <c r="S15"/>
      <c r="T15"/>
      <c r="U15"/>
      <c r="V15"/>
      <c r="W15"/>
      <c r="X15"/>
      <c r="Y15"/>
      <c r="Z15"/>
      <c r="AA15"/>
      <c r="AB15"/>
      <c r="AC15"/>
      <c r="AD15"/>
      <c r="AE15"/>
      <c r="AF15"/>
    </row>
    <row r="16" spans="1:32">
      <c r="A16" s="441"/>
      <c r="B16" s="442" t="s">
        <v>9</v>
      </c>
      <c r="C16" s="117"/>
      <c r="D16" s="329">
        <f t="shared" ref="D16:M16" si="2">SUM(D5:D15)</f>
        <v>4702</v>
      </c>
      <c r="E16" s="329">
        <f t="shared" si="2"/>
        <v>1884</v>
      </c>
      <c r="F16" s="329">
        <f t="shared" si="2"/>
        <v>2175</v>
      </c>
      <c r="G16" s="329">
        <f t="shared" si="2"/>
        <v>96</v>
      </c>
      <c r="H16" s="329">
        <f t="shared" si="2"/>
        <v>3860</v>
      </c>
      <c r="I16" s="329">
        <f t="shared" si="2"/>
        <v>91</v>
      </c>
      <c r="J16" s="329">
        <f t="shared" si="2"/>
        <v>238</v>
      </c>
      <c r="K16" s="329">
        <f t="shared" si="2"/>
        <v>491</v>
      </c>
      <c r="L16" s="329">
        <f t="shared" si="2"/>
        <v>3921</v>
      </c>
      <c r="M16" s="329">
        <f t="shared" si="2"/>
        <v>116</v>
      </c>
      <c r="N16" s="117"/>
      <c r="O16" s="117"/>
      <c r="P16" s="444">
        <f>SUM(P5:P15)</f>
        <v>25711</v>
      </c>
      <c r="Q16" s="442">
        <f>COUNTIF(C17:O17,"&gt;0")</f>
        <v>7</v>
      </c>
      <c r="R16"/>
      <c r="S16"/>
      <c r="T16"/>
      <c r="U16"/>
      <c r="V16"/>
      <c r="W16"/>
      <c r="X16"/>
      <c r="Y16"/>
      <c r="Z16"/>
      <c r="AA16"/>
      <c r="AB16"/>
      <c r="AC16"/>
      <c r="AD16"/>
      <c r="AE16"/>
      <c r="AF16"/>
    </row>
    <row r="17" spans="1:32">
      <c r="A17" s="441"/>
      <c r="B17" s="442"/>
      <c r="C17" s="117">
        <f>SUM(C5:C15)</f>
        <v>529</v>
      </c>
      <c r="D17" s="442">
        <f>SUM(D16:E16)</f>
        <v>6586</v>
      </c>
      <c r="E17" s="442"/>
      <c r="F17" s="442">
        <f t="shared" ref="F17" si="3">SUM(F16:G16)</f>
        <v>2271</v>
      </c>
      <c r="G17" s="442"/>
      <c r="H17" s="442">
        <f t="shared" ref="H17" si="4">SUM(H16:I16)</f>
        <v>3951</v>
      </c>
      <c r="I17" s="442"/>
      <c r="J17" s="442">
        <f t="shared" ref="J17" si="5">SUM(J16:K16)</f>
        <v>729</v>
      </c>
      <c r="K17" s="442"/>
      <c r="L17" s="442">
        <f t="shared" ref="L17" si="6">SUM(L16:M16)</f>
        <v>4037</v>
      </c>
      <c r="M17" s="442"/>
      <c r="N17" s="117">
        <f>SUM(N5:N15)</f>
        <v>7608</v>
      </c>
      <c r="O17" s="117">
        <f>SUM(O5:O15)</f>
        <v>0</v>
      </c>
      <c r="P17" s="444"/>
      <c r="Q17" s="442"/>
      <c r="R17"/>
      <c r="S17"/>
      <c r="T17"/>
      <c r="U17"/>
      <c r="V17"/>
      <c r="W17"/>
      <c r="X17"/>
      <c r="Y17"/>
      <c r="Z17"/>
      <c r="AA17"/>
      <c r="AB17"/>
      <c r="AC17"/>
      <c r="AD17"/>
      <c r="AE17"/>
      <c r="AF17"/>
    </row>
    <row r="18" spans="1:32">
      <c r="C18"/>
      <c r="D18"/>
      <c r="E18"/>
      <c r="F18"/>
      <c r="G18"/>
      <c r="H18"/>
      <c r="I18"/>
      <c r="J18"/>
      <c r="K18"/>
      <c r="L18"/>
      <c r="M18"/>
      <c r="N18"/>
      <c r="O18"/>
      <c r="P18" s="3"/>
      <c r="Q18"/>
      <c r="R18"/>
      <c r="S18"/>
      <c r="T18"/>
      <c r="U18"/>
      <c r="V18"/>
      <c r="W18"/>
      <c r="X18"/>
      <c r="Y18"/>
      <c r="Z18"/>
      <c r="AA18"/>
      <c r="AB18"/>
      <c r="AC18"/>
      <c r="AD18"/>
      <c r="AE18"/>
      <c r="AF18"/>
    </row>
    <row r="19" spans="1:32">
      <c r="B19" s="2" t="s">
        <v>5</v>
      </c>
      <c r="C19" s="2" t="s">
        <v>13</v>
      </c>
      <c r="D19"/>
      <c r="E19"/>
      <c r="F19"/>
      <c r="G19"/>
      <c r="H19"/>
      <c r="I19"/>
      <c r="J19"/>
      <c r="K19"/>
      <c r="L19"/>
      <c r="M19"/>
      <c r="N19"/>
      <c r="O19"/>
      <c r="P19" s="3"/>
      <c r="Q19"/>
      <c r="R19"/>
      <c r="S19"/>
      <c r="T19"/>
      <c r="U19"/>
      <c r="V19"/>
      <c r="W19"/>
      <c r="X19"/>
      <c r="Y19"/>
      <c r="Z19"/>
      <c r="AA19"/>
      <c r="AB19"/>
      <c r="AC19"/>
      <c r="AD19"/>
      <c r="AE19"/>
      <c r="AF19"/>
    </row>
    <row r="20" spans="1:32">
      <c r="B20" s="2" t="s">
        <v>466</v>
      </c>
      <c r="C20" s="2">
        <v>2284</v>
      </c>
      <c r="D20"/>
      <c r="E20"/>
      <c r="F20"/>
      <c r="G20"/>
      <c r="H20"/>
      <c r="I20"/>
      <c r="J20"/>
      <c r="K20"/>
      <c r="L20"/>
      <c r="M20"/>
      <c r="N20"/>
      <c r="O20"/>
      <c r="P20" s="3"/>
      <c r="Q20"/>
      <c r="R20"/>
      <c r="S20"/>
      <c r="T20"/>
      <c r="U20"/>
      <c r="V20"/>
      <c r="W20"/>
      <c r="X20"/>
      <c r="Y20"/>
      <c r="Z20"/>
      <c r="AA20"/>
      <c r="AB20"/>
      <c r="AC20"/>
      <c r="AD20"/>
      <c r="AE20"/>
      <c r="AF20"/>
    </row>
    <row r="21" spans="1:32">
      <c r="B21" s="2" t="s">
        <v>6</v>
      </c>
      <c r="C21" s="2">
        <v>2175</v>
      </c>
      <c r="D21"/>
      <c r="E21"/>
      <c r="F21"/>
      <c r="G21"/>
      <c r="H21"/>
      <c r="I21"/>
      <c r="J21"/>
      <c r="K21"/>
      <c r="L21"/>
      <c r="M21"/>
      <c r="N21"/>
      <c r="O21"/>
      <c r="P21" s="3"/>
      <c r="Q21"/>
      <c r="R21"/>
      <c r="S21"/>
      <c r="T21"/>
      <c r="U21"/>
      <c r="V21"/>
      <c r="W21"/>
      <c r="X21"/>
      <c r="Y21"/>
      <c r="Z21"/>
      <c r="AA21"/>
      <c r="AB21"/>
      <c r="AC21"/>
      <c r="AD21"/>
      <c r="AE21"/>
      <c r="AF21"/>
    </row>
    <row r="22" spans="1:32">
      <c r="B22" s="2" t="s">
        <v>7</v>
      </c>
      <c r="C22" s="2">
        <v>96</v>
      </c>
      <c r="D22"/>
      <c r="E22"/>
      <c r="F22"/>
      <c r="G22"/>
      <c r="H22"/>
      <c r="I22"/>
      <c r="J22"/>
      <c r="K22"/>
      <c r="L22"/>
      <c r="M22"/>
      <c r="N22"/>
      <c r="O22"/>
      <c r="P22" s="3"/>
      <c r="Q22"/>
      <c r="R22"/>
      <c r="S22"/>
      <c r="T22"/>
      <c r="U22"/>
      <c r="V22"/>
      <c r="W22"/>
      <c r="X22"/>
      <c r="Y22"/>
      <c r="Z22"/>
      <c r="AA22"/>
      <c r="AB22"/>
      <c r="AC22"/>
      <c r="AD22"/>
      <c r="AE22"/>
      <c r="AF22"/>
    </row>
    <row r="23" spans="1:32">
      <c r="B23" s="2" t="s">
        <v>467</v>
      </c>
      <c r="C23" s="2">
        <v>13</v>
      </c>
      <c r="D23"/>
      <c r="E23"/>
      <c r="F23"/>
      <c r="G23"/>
      <c r="H23"/>
      <c r="I23"/>
      <c r="J23"/>
      <c r="K23"/>
      <c r="L23"/>
      <c r="M23"/>
      <c r="N23"/>
      <c r="O23"/>
      <c r="P23" s="3"/>
      <c r="Q23"/>
      <c r="R23"/>
      <c r="S23"/>
      <c r="T23"/>
      <c r="U23"/>
      <c r="V23"/>
      <c r="W23"/>
      <c r="X23"/>
      <c r="Y23"/>
      <c r="Z23"/>
      <c r="AA23"/>
      <c r="AB23"/>
      <c r="AC23"/>
      <c r="AD23"/>
      <c r="AE23"/>
      <c r="AF23"/>
    </row>
    <row r="24" spans="1:32">
      <c r="B24" s="2" t="s">
        <v>1</v>
      </c>
      <c r="C24" s="2">
        <v>2271</v>
      </c>
      <c r="D24"/>
      <c r="E24"/>
      <c r="F24"/>
      <c r="G24"/>
      <c r="H24"/>
      <c r="I24"/>
      <c r="J24"/>
      <c r="K24"/>
      <c r="L24"/>
      <c r="M24"/>
      <c r="N24"/>
      <c r="O24"/>
      <c r="P24" s="3"/>
      <c r="Q24"/>
      <c r="R24"/>
      <c r="S24"/>
      <c r="T24"/>
      <c r="U24"/>
      <c r="V24"/>
      <c r="W24"/>
      <c r="X24"/>
      <c r="Y24"/>
      <c r="Z24"/>
      <c r="AA24"/>
      <c r="AB24"/>
      <c r="AC24"/>
      <c r="AD24"/>
      <c r="AE24"/>
      <c r="AF24"/>
    </row>
    <row r="25" spans="1:32">
      <c r="B25" s="2" t="s">
        <v>468</v>
      </c>
      <c r="C25" s="332">
        <v>0.99430823117338007</v>
      </c>
      <c r="D25"/>
      <c r="E25"/>
      <c r="F25"/>
      <c r="G25"/>
      <c r="H25"/>
      <c r="I25"/>
      <c r="J25"/>
      <c r="K25"/>
      <c r="L25"/>
      <c r="M25"/>
      <c r="N25"/>
      <c r="O25"/>
      <c r="P25" s="3"/>
      <c r="Q25"/>
      <c r="R25"/>
      <c r="S25"/>
      <c r="T25"/>
      <c r="U25"/>
      <c r="V25"/>
      <c r="W25"/>
      <c r="X25"/>
      <c r="Y25"/>
      <c r="Z25"/>
      <c r="AA25"/>
      <c r="AB25"/>
      <c r="AC25"/>
      <c r="AD25"/>
      <c r="AE25"/>
      <c r="AF25"/>
    </row>
    <row r="26" spans="1:32">
      <c r="B26" s="2" t="s">
        <v>452</v>
      </c>
      <c r="C26" s="2">
        <v>0</v>
      </c>
      <c r="D26"/>
      <c r="E26"/>
      <c r="F26"/>
      <c r="G26"/>
      <c r="H26"/>
      <c r="I26"/>
      <c r="J26"/>
      <c r="K26"/>
      <c r="L26"/>
      <c r="M26"/>
      <c r="N26"/>
      <c r="O26"/>
      <c r="P26" s="3"/>
      <c r="Q26"/>
      <c r="R26"/>
      <c r="S26"/>
      <c r="T26"/>
      <c r="U26"/>
      <c r="V26"/>
      <c r="W26"/>
      <c r="X26"/>
      <c r="Y26"/>
      <c r="Z26"/>
      <c r="AA26"/>
      <c r="AB26"/>
      <c r="AC26"/>
      <c r="AD26"/>
      <c r="AE26"/>
      <c r="AF26"/>
    </row>
    <row r="27" spans="1:32">
      <c r="B27" s="2" t="s">
        <v>465</v>
      </c>
      <c r="C27" s="332">
        <v>1</v>
      </c>
      <c r="D27"/>
      <c r="E27"/>
      <c r="F27"/>
      <c r="G27"/>
      <c r="H27"/>
      <c r="I27"/>
      <c r="J27"/>
      <c r="K27"/>
      <c r="L27"/>
      <c r="M27"/>
      <c r="N27"/>
      <c r="O27"/>
      <c r="P27" s="3"/>
      <c r="Q27"/>
      <c r="R27"/>
      <c r="S27"/>
      <c r="T27"/>
      <c r="U27"/>
      <c r="V27"/>
      <c r="W27"/>
      <c r="X27"/>
      <c r="Y27"/>
      <c r="Z27"/>
      <c r="AA27"/>
      <c r="AB27"/>
      <c r="AC27"/>
      <c r="AD27"/>
      <c r="AE27"/>
      <c r="AF27"/>
    </row>
    <row r="28" spans="1:32">
      <c r="C28"/>
      <c r="D28"/>
      <c r="E28"/>
      <c r="F28"/>
      <c r="G28"/>
      <c r="H28"/>
      <c r="I28"/>
      <c r="J28"/>
      <c r="K28"/>
      <c r="L28"/>
      <c r="M28"/>
      <c r="N28"/>
      <c r="O28"/>
      <c r="P28" s="3"/>
      <c r="Q28"/>
      <c r="R28"/>
      <c r="S28"/>
      <c r="T28"/>
      <c r="U28"/>
      <c r="V28"/>
      <c r="W28"/>
      <c r="X28"/>
      <c r="Y28"/>
      <c r="Z28"/>
      <c r="AA28"/>
      <c r="AB28"/>
      <c r="AC28"/>
      <c r="AD28"/>
      <c r="AE28"/>
      <c r="AF28"/>
    </row>
    <row r="29" spans="1:32">
      <c r="C29"/>
      <c r="D29"/>
      <c r="E29"/>
      <c r="F29"/>
      <c r="G29"/>
      <c r="H29"/>
      <c r="I29"/>
      <c r="J29"/>
      <c r="K29"/>
      <c r="L29"/>
      <c r="M29"/>
      <c r="N29"/>
      <c r="O29"/>
      <c r="P29" s="3"/>
      <c r="Q29"/>
      <c r="R29"/>
      <c r="S29"/>
      <c r="T29"/>
      <c r="U29"/>
      <c r="V29"/>
      <c r="W29"/>
      <c r="X29"/>
      <c r="Y29"/>
      <c r="Z29"/>
      <c r="AA29"/>
      <c r="AB29"/>
      <c r="AC29"/>
      <c r="AD29"/>
      <c r="AE29"/>
      <c r="AF29"/>
    </row>
    <row r="30" spans="1:32">
      <c r="C30"/>
      <c r="D30"/>
      <c r="E30"/>
      <c r="F30"/>
      <c r="G30"/>
      <c r="H30"/>
      <c r="I30"/>
      <c r="J30"/>
      <c r="K30"/>
      <c r="L30"/>
      <c r="M30"/>
      <c r="N30"/>
      <c r="O30"/>
      <c r="P30" s="3"/>
      <c r="Q30"/>
      <c r="R30"/>
      <c r="S30"/>
      <c r="T30"/>
      <c r="U30"/>
      <c r="V30"/>
      <c r="W30"/>
      <c r="X30"/>
      <c r="Y30"/>
      <c r="Z30"/>
      <c r="AA30"/>
      <c r="AB30"/>
      <c r="AC30"/>
      <c r="AD30"/>
      <c r="AE30"/>
      <c r="AF30"/>
    </row>
    <row r="31" spans="1:32">
      <c r="C31"/>
      <c r="D31"/>
      <c r="E31"/>
      <c r="F31"/>
      <c r="G31"/>
      <c r="H31"/>
      <c r="I31"/>
      <c r="J31"/>
      <c r="K31"/>
      <c r="L31"/>
      <c r="M31"/>
      <c r="N31"/>
      <c r="O31"/>
      <c r="P31" s="3"/>
      <c r="Q31"/>
      <c r="R31"/>
      <c r="S31"/>
      <c r="T31"/>
      <c r="U31"/>
      <c r="V31"/>
      <c r="W31"/>
      <c r="X31"/>
      <c r="Y31"/>
      <c r="Z31"/>
      <c r="AA31"/>
      <c r="AB31"/>
      <c r="AC31"/>
      <c r="AD31"/>
      <c r="AE31"/>
      <c r="AF31"/>
    </row>
    <row r="32" spans="1:32">
      <c r="C32"/>
      <c r="D32"/>
      <c r="E32"/>
      <c r="F32"/>
      <c r="G32"/>
      <c r="H32"/>
      <c r="I32"/>
      <c r="J32"/>
      <c r="K32"/>
      <c r="L32"/>
      <c r="M32"/>
      <c r="N32"/>
      <c r="O32"/>
      <c r="P32" s="3"/>
      <c r="Q32"/>
      <c r="R32"/>
      <c r="S32"/>
      <c r="T32"/>
      <c r="U32"/>
      <c r="V32"/>
      <c r="W32"/>
      <c r="X32"/>
      <c r="Y32"/>
      <c r="Z32"/>
      <c r="AA32"/>
      <c r="AB32"/>
      <c r="AC32"/>
      <c r="AD32"/>
      <c r="AE32"/>
      <c r="AF32"/>
    </row>
    <row r="33" spans="16:16" customFormat="1">
      <c r="P33" s="3"/>
    </row>
    <row r="34" spans="16:16" customFormat="1">
      <c r="P34" s="3"/>
    </row>
    <row r="35" spans="16:16" customFormat="1">
      <c r="P35" s="3"/>
    </row>
    <row r="36" spans="16:16" customFormat="1">
      <c r="P36" s="3"/>
    </row>
    <row r="37" spans="16:16" customFormat="1">
      <c r="P37" s="3"/>
    </row>
    <row r="38" spans="16:16" customFormat="1">
      <c r="P38" s="3"/>
    </row>
    <row r="39" spans="16:16" customFormat="1">
      <c r="P39" s="3"/>
    </row>
    <row r="40" spans="16:16" customFormat="1">
      <c r="P40" s="3"/>
    </row>
    <row r="41" spans="16:16" customFormat="1">
      <c r="P41" s="3"/>
    </row>
    <row r="42" spans="16:16" customFormat="1">
      <c r="P42" s="3"/>
    </row>
    <row r="43" spans="16:16" customFormat="1">
      <c r="P43" s="3"/>
    </row>
    <row r="44" spans="16:16" customFormat="1">
      <c r="P44" s="3"/>
    </row>
    <row r="45" spans="16:16" customFormat="1">
      <c r="P45" s="3"/>
    </row>
    <row r="46" spans="16:16" customFormat="1">
      <c r="P46" s="3"/>
    </row>
    <row r="47" spans="16:16" customFormat="1">
      <c r="P47" s="3"/>
    </row>
    <row r="48" spans="16:16" customFormat="1">
      <c r="P48" s="3"/>
    </row>
    <row r="49" spans="16:16" customFormat="1">
      <c r="P49" s="3"/>
    </row>
    <row r="50" spans="16:16" customFormat="1">
      <c r="P50" s="3"/>
    </row>
    <row r="51" spans="16:16" customFormat="1">
      <c r="P51" s="3"/>
    </row>
    <row r="52" spans="16:16" customFormat="1">
      <c r="P52" s="3"/>
    </row>
    <row r="53" spans="16:16" customFormat="1">
      <c r="P53" s="3"/>
    </row>
    <row r="54" spans="16:16" customFormat="1">
      <c r="P54" s="3"/>
    </row>
    <row r="55" spans="16:16" customFormat="1">
      <c r="P55" s="3"/>
    </row>
    <row r="56" spans="16:16" customFormat="1">
      <c r="P56" s="3"/>
    </row>
    <row r="57" spans="16:16" customFormat="1">
      <c r="P57" s="3"/>
    </row>
    <row r="58" spans="16:16" customFormat="1">
      <c r="P58" s="3"/>
    </row>
    <row r="59" spans="16:16" customFormat="1">
      <c r="P59" s="3"/>
    </row>
    <row r="60" spans="16:16" customFormat="1">
      <c r="P60" s="3"/>
    </row>
    <row r="61" spans="16:16" customFormat="1">
      <c r="P61" s="3"/>
    </row>
    <row r="62" spans="16:16" customFormat="1">
      <c r="P62" s="3"/>
    </row>
    <row r="63" spans="16:16" customFormat="1">
      <c r="P63" s="3"/>
    </row>
    <row r="64" spans="16:16" customFormat="1">
      <c r="P64" s="3"/>
    </row>
    <row r="65" spans="16:16" customFormat="1">
      <c r="P65" s="3"/>
    </row>
    <row r="66" spans="16:16" customFormat="1">
      <c r="P66" s="3"/>
    </row>
    <row r="67" spans="16:16" customFormat="1">
      <c r="P67" s="3"/>
    </row>
    <row r="68" spans="16:16" customFormat="1">
      <c r="P68" s="3"/>
    </row>
    <row r="69" spans="16:16" customFormat="1">
      <c r="P69" s="3"/>
    </row>
    <row r="70" spans="16:16" customFormat="1">
      <c r="P70" s="3"/>
    </row>
    <row r="71" spans="16:16" customFormat="1">
      <c r="P71" s="3"/>
    </row>
    <row r="72" spans="16:16" customFormat="1">
      <c r="P72" s="3"/>
    </row>
    <row r="73" spans="16:16" customFormat="1">
      <c r="P73" s="3"/>
    </row>
    <row r="74" spans="16:16" customFormat="1">
      <c r="P74" s="3"/>
    </row>
    <row r="75" spans="16:16" customFormat="1">
      <c r="P75" s="3"/>
    </row>
    <row r="76" spans="16:16" customFormat="1">
      <c r="P76" s="3"/>
    </row>
    <row r="77" spans="16:16" customFormat="1">
      <c r="P77" s="3"/>
    </row>
    <row r="78" spans="16:16" customFormat="1">
      <c r="P78" s="3"/>
    </row>
    <row r="79" spans="16:16" customFormat="1">
      <c r="P79" s="3"/>
    </row>
    <row r="80" spans="16:16" customFormat="1">
      <c r="P80" s="3"/>
    </row>
    <row r="81" spans="16:16" customFormat="1">
      <c r="P81" s="3"/>
    </row>
    <row r="82" spans="16:16" customFormat="1">
      <c r="P82" s="3"/>
    </row>
    <row r="83" spans="16:16" customFormat="1">
      <c r="P83" s="3"/>
    </row>
    <row r="84" spans="16:16" customFormat="1">
      <c r="P84" s="3"/>
    </row>
    <row r="85" spans="16:16" customFormat="1">
      <c r="P85" s="3"/>
    </row>
    <row r="86" spans="16:16" customFormat="1">
      <c r="P86" s="3"/>
    </row>
    <row r="87" spans="16:16" customFormat="1">
      <c r="P87" s="3"/>
    </row>
    <row r="88" spans="16:16" customFormat="1">
      <c r="P88" s="3"/>
    </row>
    <row r="89" spans="16:16" customFormat="1">
      <c r="P89" s="3"/>
    </row>
    <row r="90" spans="16:16" customFormat="1">
      <c r="P90" s="3"/>
    </row>
    <row r="91" spans="16:16" customFormat="1">
      <c r="P91" s="3"/>
    </row>
    <row r="92" spans="16:16" customFormat="1">
      <c r="P92" s="3"/>
    </row>
    <row r="93" spans="16:16" customFormat="1">
      <c r="P93" s="3"/>
    </row>
    <row r="94" spans="16:16" customFormat="1">
      <c r="P94" s="3"/>
    </row>
    <row r="95" spans="16:16" customFormat="1">
      <c r="P95" s="3"/>
    </row>
    <row r="96" spans="16:16" customFormat="1">
      <c r="P96" s="3"/>
    </row>
    <row r="97" spans="16:16" customFormat="1">
      <c r="P97" s="3"/>
    </row>
    <row r="98" spans="16:16" customFormat="1">
      <c r="P98" s="3"/>
    </row>
    <row r="99" spans="16:16" customFormat="1">
      <c r="P99" s="3"/>
    </row>
    <row r="100" spans="16:16" customFormat="1">
      <c r="P100" s="3"/>
    </row>
    <row r="101" spans="16:16" customFormat="1">
      <c r="P101" s="3"/>
    </row>
    <row r="102" spans="16:16" customFormat="1">
      <c r="P102" s="3"/>
    </row>
    <row r="103" spans="16:16" customFormat="1">
      <c r="P103" s="3"/>
    </row>
    <row r="104" spans="16:16" customFormat="1">
      <c r="P104" s="3"/>
    </row>
    <row r="105" spans="16:16" customFormat="1">
      <c r="P105" s="3"/>
    </row>
    <row r="106" spans="16:16" customFormat="1">
      <c r="P106" s="3"/>
    </row>
    <row r="107" spans="16:16" customFormat="1">
      <c r="P107" s="3"/>
    </row>
    <row r="108" spans="16:16" customFormat="1">
      <c r="P108" s="3"/>
    </row>
    <row r="109" spans="16:16" customFormat="1">
      <c r="P109" s="3"/>
    </row>
    <row r="110" spans="16:16" customFormat="1">
      <c r="P110" s="3"/>
    </row>
    <row r="111" spans="16:16" customFormat="1">
      <c r="P111" s="3"/>
    </row>
    <row r="112" spans="16:16" customFormat="1">
      <c r="P112" s="3"/>
    </row>
    <row r="113" spans="16:16" customFormat="1">
      <c r="P113" s="3"/>
    </row>
    <row r="114" spans="16:16" customFormat="1">
      <c r="P114" s="3"/>
    </row>
    <row r="115" spans="16:16" customFormat="1">
      <c r="P115" s="3"/>
    </row>
    <row r="116" spans="16:16" customFormat="1">
      <c r="P116" s="3"/>
    </row>
    <row r="117" spans="16:16" customFormat="1">
      <c r="P117" s="3"/>
    </row>
  </sheetData>
  <mergeCells count="22">
    <mergeCell ref="P3:P4"/>
    <mergeCell ref="H17:I17"/>
    <mergeCell ref="J17:K17"/>
    <mergeCell ref="L17:M17"/>
    <mergeCell ref="N3:N4"/>
    <mergeCell ref="O3:O4"/>
    <mergeCell ref="A1:Q1"/>
    <mergeCell ref="A2:Q2"/>
    <mergeCell ref="A3:A17"/>
    <mergeCell ref="B3:B4"/>
    <mergeCell ref="C3:C4"/>
    <mergeCell ref="D3:E3"/>
    <mergeCell ref="F3:G3"/>
    <mergeCell ref="H3:I3"/>
    <mergeCell ref="J3:K3"/>
    <mergeCell ref="L3:M3"/>
    <mergeCell ref="Q3:Q4"/>
    <mergeCell ref="B16:B17"/>
    <mergeCell ref="P16:P17"/>
    <mergeCell ref="Q16:Q17"/>
    <mergeCell ref="D17:E17"/>
    <mergeCell ref="F17:G17"/>
  </mergeCells>
  <conditionalFormatting sqref="C5:C15 F5:G15">
    <cfRule type="top10" dxfId="68" priority="4" rank="1"/>
  </conditionalFormatting>
  <conditionalFormatting sqref="C5:O15">
    <cfRule type="cellIs" dxfId="67" priority="1" operator="equal">
      <formula>0</formula>
    </cfRule>
  </conditionalFormatting>
  <conditionalFormatting sqref="C5:Q15">
    <cfRule type="cellIs" dxfId="66" priority="3" operator="equal">
      <formula>0</formula>
    </cfRule>
  </conditionalFormatting>
  <conditionalFormatting sqref="D5:E15">
    <cfRule type="top10" dxfId="65" priority="5" rank="1"/>
  </conditionalFormatting>
  <conditionalFormatting sqref="F5:G15">
    <cfRule type="top10" dxfId="64" priority="6" rank="1"/>
  </conditionalFormatting>
  <conditionalFormatting sqref="G5:G15">
    <cfRule type="top10" dxfId="63" priority="7" rank="1"/>
  </conditionalFormatting>
  <conditionalFormatting sqref="H5:I15">
    <cfRule type="top10" dxfId="62" priority="8" rank="1"/>
  </conditionalFormatting>
  <conditionalFormatting sqref="I5:I15">
    <cfRule type="top10" dxfId="61" priority="9" rank="1"/>
  </conditionalFormatting>
  <conditionalFormatting sqref="J5:K15">
    <cfRule type="top10" dxfId="60" priority="10" rank="1"/>
  </conditionalFormatting>
  <conditionalFormatting sqref="K5:K15">
    <cfRule type="top10" dxfId="59" priority="11" rank="1"/>
  </conditionalFormatting>
  <conditionalFormatting sqref="L5:O15">
    <cfRule type="top10" dxfId="58" priority="12" rank="1"/>
  </conditionalFormatting>
  <conditionalFormatting sqref="M5:O15">
    <cfRule type="top10" dxfId="57" priority="13" rank="1"/>
  </conditionalFormatting>
  <conditionalFormatting sqref="P5:Q15">
    <cfRule type="cellIs" dxfId="56" priority="2" operator="equal">
      <formula>0</formula>
    </cfRule>
  </conditionalFormatting>
  <conditionalFormatting sqref="Q5:Q15">
    <cfRule type="top10" dxfId="55" priority="14" rank="1"/>
  </conditionalFormatting>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E6FB4-F4B4-4B02-8B13-BD85DE691570}">
  <sheetPr>
    <tabColor rgb="FF00B050"/>
  </sheetPr>
  <dimension ref="A1:HD463"/>
  <sheetViews>
    <sheetView showGridLines="0" topLeftCell="A3" workbookViewId="0">
      <selection activeCell="F8" sqref="F8:F13"/>
    </sheetView>
  </sheetViews>
  <sheetFormatPr defaultColWidth="16.28515625" defaultRowHeight="12.75"/>
  <cols>
    <col min="1" max="1" width="3.85546875" style="40" bestFit="1" customWidth="1"/>
    <col min="2" max="2" width="10.5703125" style="40" customWidth="1"/>
    <col min="3" max="3" width="8.7109375" style="40" customWidth="1"/>
    <col min="4" max="4" width="12.7109375" style="40" customWidth="1"/>
    <col min="5" max="5" width="13.42578125" style="40" customWidth="1"/>
    <col min="6" max="6" width="13.7109375" style="40" customWidth="1"/>
    <col min="7" max="7" width="13.42578125" style="40" customWidth="1"/>
    <col min="8" max="8" width="11.5703125" style="40" customWidth="1"/>
    <col min="9" max="9" width="12.7109375" style="40" customWidth="1"/>
    <col min="10" max="10" width="13.42578125" style="40" customWidth="1"/>
    <col min="11" max="11" width="13.7109375" style="40" customWidth="1"/>
    <col min="12" max="12" width="13.42578125" style="40" customWidth="1"/>
    <col min="13" max="13" width="11.5703125" style="40" customWidth="1"/>
    <col min="14" max="14" width="12.7109375" style="40" customWidth="1"/>
    <col min="15" max="15" width="13.42578125" style="40" customWidth="1"/>
    <col min="16" max="16" width="13.7109375" style="40" customWidth="1"/>
    <col min="17" max="17" width="13.42578125" style="40" customWidth="1"/>
    <col min="18" max="18" width="11.5703125" style="40" customWidth="1"/>
    <col min="19" max="19" width="12.7109375" style="40" customWidth="1"/>
    <col min="20" max="20" width="13.42578125" style="40" customWidth="1"/>
    <col min="21" max="21" width="13.7109375" style="40" customWidth="1"/>
    <col min="22" max="22" width="13.42578125" style="40" customWidth="1"/>
    <col min="23" max="23" width="11.5703125" style="40" customWidth="1"/>
    <col min="24" max="24" width="12.7109375" style="40" customWidth="1"/>
    <col min="25" max="25" width="13.42578125" style="40" customWidth="1"/>
    <col min="26" max="26" width="13.7109375" style="40" customWidth="1"/>
    <col min="27" max="27" width="13.42578125" style="40" customWidth="1"/>
    <col min="28" max="28" width="11.5703125" style="40" customWidth="1"/>
    <col min="29" max="29" width="12.7109375" style="40" customWidth="1"/>
    <col min="30" max="30" width="13.42578125" style="40" customWidth="1"/>
    <col min="31" max="31" width="13.7109375" style="40" customWidth="1"/>
    <col min="32" max="32" width="13.42578125" style="40" customWidth="1"/>
    <col min="33" max="33" width="11.5703125" style="40" customWidth="1"/>
    <col min="34" max="34" width="12.7109375" style="40" customWidth="1"/>
    <col min="35" max="35" width="13.42578125" style="40" customWidth="1"/>
    <col min="36" max="36" width="13.7109375" style="40" customWidth="1"/>
    <col min="37" max="37" width="13.42578125" style="40" customWidth="1"/>
    <col min="38" max="38" width="11.5703125" style="40" customWidth="1"/>
    <col min="39" max="39" width="12.7109375" style="40" customWidth="1"/>
    <col min="40" max="40" width="13.42578125" style="40" customWidth="1"/>
    <col min="41" max="41" width="13.7109375" style="40" customWidth="1"/>
    <col min="42" max="42" width="13.42578125" style="40" customWidth="1"/>
    <col min="43" max="43" width="11.5703125" style="40" customWidth="1"/>
    <col min="44" max="44" width="12.7109375" style="40" customWidth="1"/>
    <col min="45" max="45" width="13.42578125" style="40" customWidth="1"/>
    <col min="46" max="46" width="13.7109375" style="40" customWidth="1"/>
    <col min="47" max="47" width="13.42578125" style="40" customWidth="1"/>
    <col min="48" max="48" width="11.5703125" style="40" customWidth="1"/>
    <col min="49" max="49" width="12.7109375" style="40" customWidth="1"/>
    <col min="50" max="50" width="13.42578125" style="40" customWidth="1"/>
    <col min="51" max="51" width="13.7109375" style="40" customWidth="1"/>
    <col min="52" max="52" width="13.42578125" style="40" customWidth="1"/>
    <col min="53" max="53" width="11.5703125" style="40" customWidth="1"/>
    <col min="54" max="54" width="12.7109375" style="40" customWidth="1"/>
    <col min="55" max="55" width="13.42578125" style="40" customWidth="1"/>
    <col min="56" max="56" width="13.7109375" style="40" customWidth="1"/>
    <col min="57" max="57" width="13.42578125" style="40" customWidth="1"/>
    <col min="58" max="58" width="11.5703125" style="40" customWidth="1"/>
    <col min="59" max="59" width="12.7109375" style="40" customWidth="1"/>
    <col min="60" max="60" width="13.42578125" style="40" customWidth="1"/>
    <col min="61" max="61" width="13.7109375" style="40" customWidth="1"/>
    <col min="62" max="62" width="13.42578125" style="40" customWidth="1"/>
    <col min="63" max="63" width="11.5703125" style="40" customWidth="1"/>
    <col min="64" max="64" width="12.7109375" style="40" customWidth="1"/>
    <col min="65" max="65" width="13.42578125" style="40" customWidth="1"/>
    <col min="66" max="66" width="13.7109375" style="40" customWidth="1"/>
    <col min="67" max="67" width="13.42578125" style="40" customWidth="1"/>
    <col min="68" max="68" width="11.5703125" style="40" customWidth="1"/>
    <col min="69" max="69" width="12.7109375" style="40" customWidth="1"/>
    <col min="70" max="70" width="13.42578125" style="40" customWidth="1"/>
    <col min="71" max="71" width="13.7109375" style="40" customWidth="1"/>
    <col min="72" max="72" width="13.42578125" style="40" customWidth="1"/>
    <col min="73" max="73" width="11.5703125" style="40" customWidth="1"/>
    <col min="74" max="74" width="12.7109375" style="40" customWidth="1"/>
    <col min="75" max="75" width="13.42578125" style="40" customWidth="1"/>
    <col min="76" max="76" width="13.7109375" style="40" customWidth="1"/>
    <col min="77" max="77" width="13.42578125" style="40" customWidth="1"/>
    <col min="78" max="78" width="11.5703125" style="40" customWidth="1"/>
    <col min="79" max="79" width="12.7109375" style="40" customWidth="1"/>
    <col min="80" max="80" width="13.42578125" style="40" customWidth="1"/>
    <col min="81" max="81" width="13.7109375" style="40" customWidth="1"/>
    <col min="82" max="82" width="13.42578125" style="40" customWidth="1"/>
    <col min="83" max="83" width="11.5703125" style="40" customWidth="1"/>
    <col min="84" max="84" width="12.7109375" style="40" customWidth="1"/>
    <col min="85" max="85" width="13.42578125" style="40" customWidth="1"/>
    <col min="86" max="86" width="13.7109375" style="40" customWidth="1"/>
    <col min="87" max="87" width="13.42578125" style="40" customWidth="1"/>
    <col min="88" max="88" width="11.5703125" style="40" customWidth="1"/>
    <col min="89" max="89" width="12.7109375" style="40" customWidth="1"/>
    <col min="90" max="90" width="13.42578125" style="40" customWidth="1"/>
    <col min="91" max="91" width="13.7109375" style="40" customWidth="1"/>
    <col min="92" max="92" width="13.42578125" style="40" customWidth="1"/>
    <col min="93" max="93" width="11.5703125" style="40" customWidth="1"/>
    <col min="94" max="94" width="12.7109375" style="40" customWidth="1"/>
    <col min="95" max="95" width="13.42578125" style="40" customWidth="1"/>
    <col min="96" max="96" width="13.7109375" style="40" customWidth="1"/>
    <col min="97" max="97" width="13.42578125" style="40" customWidth="1"/>
    <col min="98" max="98" width="11.5703125" style="40" customWidth="1"/>
    <col min="99" max="99" width="12.7109375" style="40" customWidth="1"/>
    <col min="100" max="100" width="13.42578125" style="40" customWidth="1"/>
    <col min="101" max="101" width="13.7109375" style="40" customWidth="1"/>
    <col min="102" max="102" width="13.42578125" style="40" customWidth="1"/>
    <col min="103" max="103" width="11.5703125" style="40" customWidth="1"/>
    <col min="104" max="104" width="12.7109375" style="40" customWidth="1"/>
    <col min="105" max="105" width="13.42578125" style="40" customWidth="1"/>
    <col min="106" max="106" width="13.7109375" style="40" customWidth="1"/>
    <col min="107" max="107" width="13.42578125" style="40" customWidth="1"/>
    <col min="108" max="108" width="11.5703125" style="40" customWidth="1"/>
    <col min="109" max="109" width="12.7109375" style="40" customWidth="1"/>
    <col min="110" max="110" width="13.42578125" style="40" customWidth="1"/>
    <col min="111" max="111" width="13.7109375" style="40" customWidth="1"/>
    <col min="112" max="112" width="13.42578125" style="40" customWidth="1"/>
    <col min="113" max="113" width="11.5703125" style="40" customWidth="1"/>
    <col min="114" max="114" width="12.7109375" style="40" customWidth="1"/>
    <col min="115" max="115" width="13.42578125" style="40" customWidth="1"/>
    <col min="116" max="116" width="13.7109375" style="40" customWidth="1"/>
    <col min="117" max="117" width="13.42578125" style="40" customWidth="1"/>
    <col min="118" max="118" width="11.5703125" style="40" customWidth="1"/>
    <col min="119" max="119" width="12.7109375" style="40" customWidth="1"/>
    <col min="120" max="120" width="13.42578125" style="40" customWidth="1"/>
    <col min="121" max="121" width="13.7109375" style="40" customWidth="1"/>
    <col min="122" max="122" width="13.42578125" style="40" customWidth="1"/>
    <col min="123" max="123" width="11.5703125" style="40" customWidth="1"/>
    <col min="124" max="124" width="12.7109375" style="40" customWidth="1"/>
    <col min="125" max="125" width="13.42578125" style="40" customWidth="1"/>
    <col min="126" max="126" width="13.7109375" style="40" customWidth="1"/>
    <col min="127" max="127" width="13.42578125" style="40" customWidth="1"/>
    <col min="128" max="128" width="11.5703125" style="40" customWidth="1"/>
    <col min="129" max="129" width="12.7109375" style="40" customWidth="1"/>
    <col min="130" max="130" width="13.42578125" style="40" customWidth="1"/>
    <col min="131" max="131" width="13.7109375" style="40" customWidth="1"/>
    <col min="132" max="132" width="13.42578125" style="40" customWidth="1"/>
    <col min="133" max="133" width="11.5703125" style="40" customWidth="1"/>
    <col min="134" max="134" width="12.7109375" style="40" customWidth="1"/>
    <col min="135" max="135" width="13.42578125" style="40" customWidth="1"/>
    <col min="136" max="136" width="13.7109375" style="40" customWidth="1"/>
    <col min="137" max="137" width="13.42578125" style="40" customWidth="1"/>
    <col min="138" max="138" width="11.5703125" style="40" customWidth="1"/>
    <col min="139" max="139" width="12.7109375" style="40" customWidth="1"/>
    <col min="140" max="140" width="13.42578125" style="40" customWidth="1"/>
    <col min="141" max="141" width="13.7109375" style="40" customWidth="1"/>
    <col min="142" max="142" width="13.42578125" style="40" customWidth="1"/>
    <col min="143" max="143" width="11.5703125" style="40" customWidth="1"/>
    <col min="144" max="144" width="12.7109375" style="40" customWidth="1"/>
    <col min="145" max="145" width="13.42578125" style="40" customWidth="1"/>
    <col min="146" max="146" width="13.7109375" style="40" customWidth="1"/>
    <col min="147" max="147" width="13.42578125" style="40" customWidth="1"/>
    <col min="148" max="148" width="11.5703125" style="40" customWidth="1"/>
    <col min="149" max="149" width="12.7109375" style="40" customWidth="1"/>
    <col min="150" max="150" width="13.42578125" style="40" customWidth="1"/>
    <col min="151" max="151" width="13.7109375" style="40" customWidth="1"/>
    <col min="152" max="152" width="13.42578125" style="40" customWidth="1"/>
    <col min="153" max="153" width="11.5703125" style="40" customWidth="1"/>
    <col min="154" max="154" width="12.7109375" style="40" customWidth="1"/>
    <col min="155" max="155" width="13.42578125" style="40" customWidth="1"/>
    <col min="156" max="156" width="13.7109375" style="40" customWidth="1"/>
    <col min="157" max="157" width="13.42578125" style="40" customWidth="1"/>
    <col min="158" max="158" width="11.5703125" style="40" customWidth="1"/>
    <col min="159" max="159" width="5.5703125" style="40" customWidth="1"/>
    <col min="160" max="160" width="3.85546875" style="40" bestFit="1" customWidth="1"/>
    <col min="161" max="161" width="16.28515625" style="40"/>
    <col min="162" max="162" width="2.140625" style="40" customWidth="1"/>
    <col min="163" max="163" width="12.7109375" style="40" bestFit="1" customWidth="1"/>
    <col min="164" max="164" width="13.42578125" style="40" bestFit="1" customWidth="1"/>
    <col min="165" max="165" width="13.7109375" style="40" bestFit="1" customWidth="1"/>
    <col min="166" max="166" width="13.42578125" style="40" bestFit="1" customWidth="1"/>
    <col min="167" max="167" width="11.5703125" style="40" bestFit="1" customWidth="1"/>
    <col min="168" max="169" width="5.42578125" style="40" customWidth="1"/>
    <col min="170" max="170" width="35.85546875" style="40" bestFit="1" customWidth="1"/>
    <col min="171" max="171" width="21" style="196" customWidth="1"/>
    <col min="172" max="172" width="22.7109375" style="196" customWidth="1"/>
    <col min="173" max="173" width="4.85546875" style="40" customWidth="1"/>
    <col min="174" max="174" width="4.7109375" style="40" bestFit="1" customWidth="1"/>
    <col min="175" max="175" width="18.140625" style="40" bestFit="1" customWidth="1"/>
    <col min="176" max="176" width="16.85546875" style="40" bestFit="1" customWidth="1"/>
    <col min="177" max="177" width="18.85546875" style="40" bestFit="1" customWidth="1"/>
    <col min="178" max="178" width="15.140625" style="40" bestFit="1" customWidth="1"/>
    <col min="179" max="179" width="16.140625" style="40" bestFit="1" customWidth="1"/>
    <col min="180" max="180" width="15.140625" style="40" bestFit="1" customWidth="1"/>
    <col min="181" max="181" width="15.140625" style="40" customWidth="1"/>
    <col min="182" max="182" width="15.140625" style="40" bestFit="1" customWidth="1"/>
    <col min="183" max="183" width="16.5703125" style="40" customWidth="1"/>
    <col min="184" max="184" width="15.140625" style="40" bestFit="1" customWidth="1"/>
    <col min="185" max="185" width="6.85546875" style="40" customWidth="1"/>
    <col min="186" max="186" width="24.28515625" style="40" bestFit="1" customWidth="1"/>
    <col min="187" max="187" width="16.28515625" style="40" bestFit="1" customWidth="1"/>
    <col min="188" max="188" width="8.28515625" style="40" bestFit="1" customWidth="1"/>
    <col min="189" max="189" width="9.28515625" style="40" bestFit="1" customWidth="1"/>
    <col min="190" max="190" width="8.5703125" style="40" bestFit="1" customWidth="1"/>
    <col min="191" max="191" width="11.28515625" style="40" bestFit="1" customWidth="1"/>
    <col min="192" max="194" width="3" style="40" bestFit="1" customWidth="1"/>
    <col min="195" max="195" width="4" style="40" bestFit="1" customWidth="1"/>
    <col min="196" max="197" width="3" style="40" bestFit="1" customWidth="1"/>
    <col min="198" max="199" width="2" style="40" bestFit="1" customWidth="1"/>
    <col min="200" max="202" width="3" style="40" bestFit="1" customWidth="1"/>
    <col min="203" max="203" width="2" style="40" bestFit="1" customWidth="1"/>
    <col min="204" max="205" width="3" style="40" bestFit="1" customWidth="1"/>
    <col min="206" max="206" width="2" style="40" bestFit="1" customWidth="1"/>
    <col min="207" max="211" width="3" style="40" bestFit="1" customWidth="1"/>
    <col min="212" max="212" width="4" style="40" bestFit="1" customWidth="1"/>
    <col min="213" max="213" width="7.28515625" style="40" bestFit="1" customWidth="1"/>
    <col min="214" max="214" width="11.28515625" style="40" bestFit="1" customWidth="1"/>
    <col min="215" max="16384" width="16.28515625" style="40"/>
  </cols>
  <sheetData>
    <row r="1" spans="1:212" hidden="1"/>
    <row r="2" spans="1:212" ht="15" hidden="1">
      <c r="FR2" s="451"/>
      <c r="FS2" s="110"/>
      <c r="FT2" s="17">
        <f>'[9]Account Corrections Support'!$G16</f>
        <v>0</v>
      </c>
      <c r="FU2" s="17">
        <f>'[9]Account Corrections Support'!$G17</f>
        <v>0</v>
      </c>
      <c r="FV2" s="17">
        <f>'[9]Account Corrections Support'!$G18</f>
        <v>0</v>
      </c>
      <c r="FW2" s="17">
        <f>'[9]Account Corrections Support'!$G19</f>
        <v>0</v>
      </c>
      <c r="FX2" s="17">
        <f>'[9]Account Corrections Support'!$G20</f>
        <v>0</v>
      </c>
      <c r="FY2" s="17">
        <f>'[9]Account Corrections Support'!$G21</f>
        <v>0</v>
      </c>
      <c r="FZ2" s="17">
        <f>'[9]Account Corrections Support'!$G22</f>
        <v>0</v>
      </c>
      <c r="GA2" s="198">
        <f t="shared" ref="GA2:GA4" si="0">SUM(FT2:FZ2)</f>
        <v>0</v>
      </c>
      <c r="GB2" s="17">
        <f t="shared" ref="GB2:GB5" si="1">COUNTIF(FT2:FZ2,"&gt;0")</f>
        <v>0</v>
      </c>
      <c r="GG2"/>
      <c r="GH2"/>
      <c r="GI2"/>
      <c r="GJ2"/>
      <c r="GK2"/>
      <c r="GL2"/>
      <c r="GM2"/>
      <c r="GN2"/>
      <c r="GO2"/>
      <c r="GP2"/>
      <c r="GQ2"/>
      <c r="GR2"/>
      <c r="GS2"/>
      <c r="GT2"/>
      <c r="GU2"/>
      <c r="GV2"/>
      <c r="GW2"/>
      <c r="GX2"/>
      <c r="GY2"/>
      <c r="GZ2"/>
      <c r="HA2"/>
      <c r="HB2"/>
      <c r="HC2"/>
    </row>
    <row r="3" spans="1:212" ht="15">
      <c r="FR3" s="451"/>
      <c r="FS3" s="110" t="s">
        <v>778</v>
      </c>
      <c r="FT3" s="17">
        <f>'[9]Account Corrections Support'!$G40</f>
        <v>0</v>
      </c>
      <c r="FU3" s="17">
        <f>'[9]Account Corrections Support'!$G41</f>
        <v>641</v>
      </c>
      <c r="FV3" s="17">
        <f>'[9]Account Corrections Support'!$G42</f>
        <v>0</v>
      </c>
      <c r="FW3" s="17">
        <f>'[9]Account Corrections Support'!$G43</f>
        <v>182</v>
      </c>
      <c r="FX3" s="17">
        <f>'[9]Account Corrections Support'!$G21</f>
        <v>0</v>
      </c>
      <c r="FY3" s="17">
        <f>'[9]Account Corrections Support'!$G45</f>
        <v>0</v>
      </c>
      <c r="FZ3" s="17">
        <f>'[9]Account Corrections Support'!$G46</f>
        <v>0</v>
      </c>
      <c r="GA3" s="198">
        <f t="shared" si="0"/>
        <v>823</v>
      </c>
      <c r="GB3" s="17">
        <f t="shared" si="1"/>
        <v>2</v>
      </c>
      <c r="GC3"/>
      <c r="GD3"/>
      <c r="GE3"/>
      <c r="GF3"/>
      <c r="GG3"/>
      <c r="GH3"/>
      <c r="GI3"/>
      <c r="GJ3"/>
      <c r="GK3"/>
      <c r="GL3"/>
      <c r="GM3"/>
      <c r="GN3"/>
      <c r="GO3"/>
      <c r="GP3"/>
      <c r="GQ3"/>
      <c r="GR3"/>
      <c r="GS3"/>
      <c r="GT3"/>
      <c r="GU3"/>
      <c r="GV3"/>
      <c r="GW3"/>
      <c r="GX3"/>
      <c r="GY3"/>
      <c r="GZ3"/>
      <c r="HA3"/>
      <c r="HB3"/>
      <c r="HC3"/>
      <c r="HD3"/>
    </row>
    <row r="4" spans="1:212" ht="16.5" thickBot="1">
      <c r="A4" s="445" t="s">
        <v>475</v>
      </c>
      <c r="B4" s="445"/>
      <c r="C4" s="445"/>
      <c r="D4" s="445"/>
      <c r="E4" s="445"/>
      <c r="F4" s="445"/>
      <c r="G4" s="445"/>
      <c r="H4" s="445"/>
      <c r="FN4" s="195" t="s">
        <v>779</v>
      </c>
      <c r="FO4" s="81" t="s">
        <v>772</v>
      </c>
      <c r="FP4" s="81" t="s">
        <v>773</v>
      </c>
      <c r="FR4" s="451"/>
      <c r="FS4" s="110" t="s">
        <v>780</v>
      </c>
      <c r="FT4" s="17">
        <f>'[9]Account Corrections Support'!$G112</f>
        <v>0</v>
      </c>
      <c r="FU4" s="17">
        <f>'[9]Account Corrections Support'!$G113</f>
        <v>0</v>
      </c>
      <c r="FV4" s="17">
        <f>'[9]Account Corrections Support'!$G114</f>
        <v>0</v>
      </c>
      <c r="FW4" s="17">
        <f>'[9]Account Corrections Support'!$G115</f>
        <v>251</v>
      </c>
      <c r="FX4" s="17">
        <f>'[9]Account Corrections Support'!$G116</f>
        <v>279</v>
      </c>
      <c r="FY4" s="17">
        <f>'[9]Account Corrections Support'!$G117</f>
        <v>362</v>
      </c>
      <c r="FZ4" s="17">
        <f>'[9]Account Corrections Support'!$G118</f>
        <v>0</v>
      </c>
      <c r="GA4" s="198">
        <f t="shared" si="0"/>
        <v>892</v>
      </c>
      <c r="GB4" s="17">
        <f t="shared" si="1"/>
        <v>3</v>
      </c>
      <c r="GC4"/>
      <c r="GD4"/>
      <c r="GE4"/>
      <c r="GF4"/>
      <c r="GG4"/>
      <c r="GH4"/>
      <c r="GI4"/>
      <c r="GJ4"/>
      <c r="GK4"/>
      <c r="GL4"/>
      <c r="GM4"/>
      <c r="GN4"/>
      <c r="GO4"/>
      <c r="GP4"/>
      <c r="GQ4"/>
      <c r="GR4"/>
      <c r="GS4"/>
      <c r="GT4"/>
      <c r="GU4"/>
      <c r="GV4"/>
      <c r="GW4"/>
      <c r="GX4"/>
      <c r="GY4"/>
      <c r="GZ4"/>
      <c r="HA4"/>
    </row>
    <row r="5" spans="1:212" ht="15">
      <c r="A5" s="446" t="s">
        <v>13</v>
      </c>
      <c r="B5" s="446"/>
      <c r="C5" s="446"/>
      <c r="D5" s="447">
        <v>45444</v>
      </c>
      <c r="E5" s="447"/>
      <c r="F5" s="447"/>
      <c r="G5" s="447"/>
      <c r="H5" s="447"/>
      <c r="FD5" s="197"/>
      <c r="FE5" s="199"/>
      <c r="FF5" s="199"/>
      <c r="FG5" s="199"/>
      <c r="FH5" s="199"/>
      <c r="FI5" s="199"/>
      <c r="FJ5" s="199"/>
      <c r="FK5" s="199"/>
      <c r="FL5" s="202"/>
      <c r="FN5" s="109" t="s">
        <v>781</v>
      </c>
      <c r="FO5" s="17" t="s">
        <v>35</v>
      </c>
      <c r="FP5" s="17" t="s">
        <v>782</v>
      </c>
      <c r="FR5" s="452"/>
      <c r="FS5" s="116" t="s">
        <v>9</v>
      </c>
      <c r="FT5" s="163">
        <f t="shared" ref="FT5:GA5" si="2">SUM(FT2:FT4)</f>
        <v>0</v>
      </c>
      <c r="FU5" s="163">
        <f t="shared" si="2"/>
        <v>641</v>
      </c>
      <c r="FV5" s="163">
        <f t="shared" si="2"/>
        <v>0</v>
      </c>
      <c r="FW5" s="163">
        <f t="shared" si="2"/>
        <v>433</v>
      </c>
      <c r="FX5" s="163">
        <f t="shared" si="2"/>
        <v>279</v>
      </c>
      <c r="FY5" s="163">
        <f t="shared" si="2"/>
        <v>362</v>
      </c>
      <c r="FZ5" s="163">
        <f t="shared" si="2"/>
        <v>0</v>
      </c>
      <c r="GA5" s="117">
        <f t="shared" si="2"/>
        <v>1715</v>
      </c>
      <c r="GB5" s="117">
        <f t="shared" si="1"/>
        <v>4</v>
      </c>
      <c r="GC5"/>
      <c r="GD5"/>
      <c r="GE5"/>
    </row>
    <row r="6" spans="1:212" ht="16.5" thickBot="1">
      <c r="A6" s="448">
        <f>H20</f>
        <v>0</v>
      </c>
      <c r="B6" s="469" t="s">
        <v>34</v>
      </c>
      <c r="C6" s="469"/>
      <c r="D6" s="66" t="s">
        <v>476</v>
      </c>
      <c r="E6" s="66" t="s">
        <v>477</v>
      </c>
      <c r="F6" s="66" t="s">
        <v>35</v>
      </c>
      <c r="G6" s="66" t="s">
        <v>36</v>
      </c>
      <c r="H6" s="66" t="s">
        <v>57</v>
      </c>
      <c r="FD6" s="201"/>
      <c r="FE6" s="200" t="s">
        <v>783</v>
      </c>
      <c r="FF6" s="215"/>
      <c r="FG6" s="215"/>
      <c r="FH6" s="215"/>
      <c r="FI6" s="215"/>
      <c r="FJ6" s="215"/>
      <c r="FK6" s="215"/>
      <c r="FL6" s="213"/>
      <c r="FM6" s="215"/>
      <c r="FN6" s="109" t="s">
        <v>784</v>
      </c>
      <c r="FO6" s="17" t="s">
        <v>35</v>
      </c>
      <c r="FP6" s="17" t="s">
        <v>785</v>
      </c>
      <c r="FR6" s="461" t="s">
        <v>764</v>
      </c>
      <c r="FS6" s="408"/>
      <c r="FT6" s="408"/>
      <c r="FU6" s="408"/>
      <c r="FV6" s="408"/>
      <c r="FW6" s="408"/>
      <c r="FX6" s="408"/>
      <c r="FY6" s="408"/>
      <c r="FZ6" s="408"/>
      <c r="GA6" s="408"/>
      <c r="GB6" s="408"/>
      <c r="GC6"/>
      <c r="GD6"/>
      <c r="GE6"/>
    </row>
    <row r="7" spans="1:212" ht="15.75" customHeight="1" thickBot="1">
      <c r="A7" s="449"/>
      <c r="B7" s="440" t="s">
        <v>37</v>
      </c>
      <c r="C7" s="440"/>
      <c r="D7" s="333">
        <v>118</v>
      </c>
      <c r="E7" s="333">
        <v>408</v>
      </c>
      <c r="F7" s="333">
        <v>445</v>
      </c>
      <c r="G7" s="333">
        <v>1931</v>
      </c>
      <c r="H7" s="331">
        <v>81</v>
      </c>
      <c r="FD7" s="211" t="s">
        <v>786</v>
      </c>
      <c r="FE7" s="462" t="s">
        <v>787</v>
      </c>
      <c r="FF7" s="462"/>
      <c r="FG7" s="462"/>
      <c r="FH7" s="462"/>
      <c r="FI7" s="462"/>
      <c r="FJ7" s="463"/>
      <c r="FK7" s="203">
        <v>45413</v>
      </c>
      <c r="FL7" s="213"/>
      <c r="FM7" s="215"/>
      <c r="FN7" s="109" t="s">
        <v>788</v>
      </c>
      <c r="FO7" s="17" t="s">
        <v>35</v>
      </c>
      <c r="FP7" s="17" t="s">
        <v>766</v>
      </c>
      <c r="FR7" s="464">
        <f>FK7</f>
        <v>45413</v>
      </c>
      <c r="FS7" s="466" t="s">
        <v>487</v>
      </c>
      <c r="FT7" s="467"/>
      <c r="FU7" s="467"/>
      <c r="FV7" s="467"/>
      <c r="FW7" s="467"/>
      <c r="FX7" s="467"/>
      <c r="FY7" s="467"/>
      <c r="FZ7" s="467"/>
      <c r="GA7" s="467"/>
      <c r="GB7" s="467"/>
      <c r="GC7"/>
      <c r="GD7"/>
    </row>
    <row r="8" spans="1:212" ht="15">
      <c r="A8" s="449"/>
      <c r="B8" s="440" t="s">
        <v>21</v>
      </c>
      <c r="C8" s="440"/>
      <c r="D8" s="333">
        <v>129</v>
      </c>
      <c r="E8" s="333">
        <v>423</v>
      </c>
      <c r="F8" s="333">
        <v>407</v>
      </c>
      <c r="G8" s="333">
        <v>2467</v>
      </c>
      <c r="H8" s="331">
        <v>145</v>
      </c>
      <c r="FD8" s="211" t="s">
        <v>789</v>
      </c>
      <c r="FE8" s="462" t="s">
        <v>790</v>
      </c>
      <c r="FF8" s="462"/>
      <c r="FG8" s="462"/>
      <c r="FH8" s="462"/>
      <c r="FI8" s="462"/>
      <c r="FJ8" s="462"/>
      <c r="FK8" s="215"/>
      <c r="FL8" s="213"/>
      <c r="FM8" s="215"/>
      <c r="FN8" s="109" t="s">
        <v>791</v>
      </c>
      <c r="FO8" s="17" t="s">
        <v>35</v>
      </c>
      <c r="FP8" s="17" t="s">
        <v>766</v>
      </c>
      <c r="FR8" s="465"/>
      <c r="FS8" s="116" t="s">
        <v>765</v>
      </c>
      <c r="FT8" s="163" t="s">
        <v>37</v>
      </c>
      <c r="FU8" s="163" t="s">
        <v>21</v>
      </c>
      <c r="FV8" s="163" t="s">
        <v>80</v>
      </c>
      <c r="FW8" s="163" t="s">
        <v>38</v>
      </c>
      <c r="FX8" s="163" t="s">
        <v>30</v>
      </c>
      <c r="FY8" s="163" t="s">
        <v>31</v>
      </c>
      <c r="FZ8" s="164" t="s">
        <v>60</v>
      </c>
      <c r="GA8" s="117" t="s">
        <v>20</v>
      </c>
      <c r="GB8" s="117" t="s">
        <v>490</v>
      </c>
      <c r="GC8"/>
      <c r="GD8"/>
    </row>
    <row r="9" spans="1:212" ht="15">
      <c r="A9" s="449"/>
      <c r="B9" s="440" t="s">
        <v>80</v>
      </c>
      <c r="C9" s="440"/>
      <c r="D9" s="333">
        <v>47</v>
      </c>
      <c r="E9" s="333">
        <v>890</v>
      </c>
      <c r="F9" s="333">
        <v>908</v>
      </c>
      <c r="G9" s="333">
        <v>1631</v>
      </c>
      <c r="H9" s="331">
        <v>29</v>
      </c>
      <c r="FD9" s="211"/>
      <c r="FE9" s="208"/>
      <c r="FF9" s="208"/>
      <c r="FG9" s="208"/>
      <c r="FH9" s="208"/>
      <c r="FI9" s="208"/>
      <c r="FJ9" s="208"/>
      <c r="FK9" s="215"/>
      <c r="FL9" s="213"/>
      <c r="FM9" s="215"/>
      <c r="FN9" s="109" t="s">
        <v>792</v>
      </c>
      <c r="FO9" s="17" t="s">
        <v>35</v>
      </c>
      <c r="FP9" s="17" t="s">
        <v>766</v>
      </c>
      <c r="FR9" s="465"/>
      <c r="FS9" s="110" t="s">
        <v>767</v>
      </c>
      <c r="FT9" s="17">
        <f>'[9]Account Corrections Support'!$F28</f>
        <v>0</v>
      </c>
      <c r="FU9" s="17">
        <f>'[9]Account Corrections Support'!$F29</f>
        <v>171</v>
      </c>
      <c r="FV9" s="17">
        <f>'[9]Account Corrections Support'!$F30</f>
        <v>1076</v>
      </c>
      <c r="FW9" s="17">
        <f>'[9]Account Corrections Support'!$F31</f>
        <v>0</v>
      </c>
      <c r="FX9" s="17">
        <f>'[9]Account Corrections Support'!$F32</f>
        <v>0</v>
      </c>
      <c r="FY9" s="17">
        <f>'[9]Account Corrections Support'!$F33</f>
        <v>0</v>
      </c>
      <c r="FZ9" s="17">
        <f>'[9]Account Corrections Support'!$F34</f>
        <v>0</v>
      </c>
      <c r="GA9" s="18">
        <f t="shared" ref="GA9" si="3">SUM(FT9:FZ9)</f>
        <v>1247</v>
      </c>
      <c r="GB9" s="23">
        <f t="shared" ref="GB9:GB21" si="4">COUNTIF(FT9:FZ9,"&gt;0")</f>
        <v>2</v>
      </c>
      <c r="GC9"/>
      <c r="GD9"/>
    </row>
    <row r="10" spans="1:212" ht="15">
      <c r="A10" s="449"/>
      <c r="B10" s="440" t="s">
        <v>38</v>
      </c>
      <c r="C10" s="440"/>
      <c r="D10" s="333">
        <v>25</v>
      </c>
      <c r="E10" s="333">
        <v>65</v>
      </c>
      <c r="F10" s="333">
        <v>74</v>
      </c>
      <c r="G10" s="333">
        <v>316</v>
      </c>
      <c r="H10" s="331">
        <v>16</v>
      </c>
      <c r="FD10" s="211" t="s">
        <v>793</v>
      </c>
      <c r="FE10" s="462" t="s">
        <v>794</v>
      </c>
      <c r="FF10" s="462"/>
      <c r="FG10" s="462"/>
      <c r="FH10" s="462"/>
      <c r="FI10" s="462"/>
      <c r="FJ10" s="462"/>
      <c r="FK10" s="215"/>
      <c r="FL10" s="213"/>
      <c r="FM10" s="215"/>
      <c r="FN10" s="109"/>
      <c r="FO10" s="17"/>
      <c r="FP10" s="17"/>
      <c r="FR10" s="465"/>
      <c r="FS10" s="110" t="s">
        <v>768</v>
      </c>
      <c r="FT10" s="17">
        <f>'[9]Account Corrections Support'!$F76</f>
        <v>0</v>
      </c>
      <c r="FU10" s="17">
        <f>'[9]Account Corrections Support'!$F77</f>
        <v>96</v>
      </c>
      <c r="FV10" s="17">
        <f>'[9]Account Corrections Support'!$F78</f>
        <v>0</v>
      </c>
      <c r="FW10" s="17">
        <f>'[9]Account Corrections Support'!$F79</f>
        <v>0</v>
      </c>
      <c r="FX10" s="17">
        <f>'[9]Account Corrections Support'!$F80</f>
        <v>0</v>
      </c>
      <c r="FY10" s="17">
        <f>'[9]Account Corrections Support'!$F81</f>
        <v>0</v>
      </c>
      <c r="FZ10" s="17">
        <f>'[9]Account Corrections Support'!$F82</f>
        <v>0</v>
      </c>
      <c r="GA10" s="18">
        <f t="shared" ref="GA10:GA20" si="5">SUM(FT10:FZ10)</f>
        <v>96</v>
      </c>
      <c r="GB10" s="23">
        <f t="shared" si="4"/>
        <v>1</v>
      </c>
      <c r="GC10"/>
      <c r="GD10"/>
    </row>
    <row r="11" spans="1:212" ht="15">
      <c r="A11" s="449"/>
      <c r="B11" s="440" t="s">
        <v>30</v>
      </c>
      <c r="C11" s="440"/>
      <c r="D11" s="333">
        <v>23</v>
      </c>
      <c r="E11" s="333">
        <v>91</v>
      </c>
      <c r="F11" s="333">
        <v>97</v>
      </c>
      <c r="G11" s="333">
        <v>418</v>
      </c>
      <c r="H11" s="331">
        <v>17</v>
      </c>
      <c r="FD11" s="201"/>
      <c r="FE11" s="215"/>
      <c r="FF11" s="215"/>
      <c r="FG11" s="215"/>
      <c r="FH11" s="215"/>
      <c r="FI11" s="215"/>
      <c r="FJ11" s="215"/>
      <c r="FK11" s="215"/>
      <c r="FL11" s="213"/>
      <c r="FM11" s="215"/>
      <c r="FN11" s="109"/>
      <c r="FO11" s="17"/>
      <c r="FP11" s="17"/>
      <c r="FR11" s="465"/>
      <c r="FS11" s="110" t="s">
        <v>769</v>
      </c>
      <c r="FT11" s="17">
        <f>'[9]Account Corrections Support'!F88</f>
        <v>201</v>
      </c>
      <c r="FU11" s="17">
        <f>'[9]Account Corrections Support'!F89</f>
        <v>0</v>
      </c>
      <c r="FV11" s="17">
        <f>'[9]Account Corrections Support'!F90</f>
        <v>0</v>
      </c>
      <c r="FW11" s="17">
        <f>'[9]Account Corrections Support'!F91</f>
        <v>0</v>
      </c>
      <c r="FX11" s="17">
        <f>'[9]Account Corrections Support'!F92</f>
        <v>0</v>
      </c>
      <c r="FY11" s="17">
        <f>'[9]Account Corrections Support'!F93</f>
        <v>0</v>
      </c>
      <c r="FZ11" s="17">
        <f>'[9]Account Corrections Support'!F94</f>
        <v>0</v>
      </c>
      <c r="GA11" s="18">
        <f t="shared" si="5"/>
        <v>201</v>
      </c>
      <c r="GB11" s="23">
        <f t="shared" si="4"/>
        <v>1</v>
      </c>
      <c r="GC11"/>
      <c r="GD11"/>
    </row>
    <row r="12" spans="1:212" ht="15.75" thickBot="1">
      <c r="A12" s="449"/>
      <c r="B12" s="440" t="s">
        <v>31</v>
      </c>
      <c r="C12" s="440"/>
      <c r="D12" s="333">
        <v>34</v>
      </c>
      <c r="E12" s="333">
        <v>101</v>
      </c>
      <c r="F12" s="333">
        <v>120</v>
      </c>
      <c r="G12" s="333">
        <v>440</v>
      </c>
      <c r="H12" s="331">
        <v>15</v>
      </c>
      <c r="FD12" s="210"/>
      <c r="FE12" s="207"/>
      <c r="FF12" s="207"/>
      <c r="FG12" s="207"/>
      <c r="FH12" s="207"/>
      <c r="FI12" s="207"/>
      <c r="FJ12" s="207"/>
      <c r="FK12" s="207"/>
      <c r="FL12" s="205"/>
      <c r="FM12" s="215"/>
      <c r="FN12" s="109"/>
      <c r="FO12" s="17"/>
      <c r="FP12" s="17"/>
      <c r="FR12" s="465"/>
      <c r="FS12" s="110" t="s">
        <v>770</v>
      </c>
      <c r="FT12" s="17">
        <f>'[9]Account Corrections Support'!F136</f>
        <v>0</v>
      </c>
      <c r="FU12" s="17">
        <f>'[9]Account Corrections Support'!F137</f>
        <v>0</v>
      </c>
      <c r="FV12" s="17">
        <f>'[9]Account Corrections Support'!F138</f>
        <v>0</v>
      </c>
      <c r="FW12" s="17">
        <f>'[9]Account Corrections Support'!F139</f>
        <v>0</v>
      </c>
      <c r="FX12" s="17">
        <f>'[9]Account Corrections Support'!F140</f>
        <v>21</v>
      </c>
      <c r="FY12" s="17">
        <f>'[9]Account Corrections Support'!F141</f>
        <v>22</v>
      </c>
      <c r="FZ12" s="17">
        <f>'[9]Account Corrections Support'!F142</f>
        <v>0</v>
      </c>
      <c r="GA12" s="18">
        <f t="shared" si="5"/>
        <v>43</v>
      </c>
      <c r="GB12" s="23">
        <f t="shared" si="4"/>
        <v>2</v>
      </c>
      <c r="GC12"/>
      <c r="GD12"/>
    </row>
    <row r="13" spans="1:212" ht="15">
      <c r="A13" s="450"/>
      <c r="B13" s="453" t="s">
        <v>60</v>
      </c>
      <c r="C13" s="454"/>
      <c r="D13" s="333">
        <v>0</v>
      </c>
      <c r="E13" s="333">
        <v>39</v>
      </c>
      <c r="F13" s="333">
        <v>39</v>
      </c>
      <c r="G13" s="333">
        <v>39</v>
      </c>
      <c r="H13" s="331">
        <v>0</v>
      </c>
      <c r="FM13" s="215"/>
      <c r="FR13" s="465"/>
      <c r="FS13" s="110" t="s">
        <v>771</v>
      </c>
      <c r="FT13" s="17">
        <f>'[9]Account Corrections Support'!F100</f>
        <v>182</v>
      </c>
      <c r="FU13" s="17">
        <f>'[9]Account Corrections Support'!F101</f>
        <v>0</v>
      </c>
      <c r="FV13" s="17">
        <f>'[9]Account Corrections Support'!F102</f>
        <v>0</v>
      </c>
      <c r="FW13" s="17">
        <f>'[9]Account Corrections Support'!F103</f>
        <v>0</v>
      </c>
      <c r="FX13" s="17">
        <f>'[9]Account Corrections Support'!F104</f>
        <v>0</v>
      </c>
      <c r="FY13" s="17">
        <f>'[9]Account Corrections Support'!F105</f>
        <v>0</v>
      </c>
      <c r="FZ13" s="17">
        <f>'[9]Account Corrections Support'!F106</f>
        <v>0</v>
      </c>
      <c r="GA13" s="18">
        <f t="shared" si="5"/>
        <v>182</v>
      </c>
      <c r="GB13" s="23">
        <f t="shared" si="4"/>
        <v>1</v>
      </c>
      <c r="GC13"/>
      <c r="GD13"/>
    </row>
    <row r="14" spans="1:212">
      <c r="A14" s="468" t="s">
        <v>9</v>
      </c>
      <c r="B14" s="468"/>
      <c r="C14" s="468"/>
      <c r="D14" s="334">
        <f>SUM(D7:D13)</f>
        <v>376</v>
      </c>
      <c r="E14" s="334">
        <f>SUM(E7:E13)</f>
        <v>2017</v>
      </c>
      <c r="F14" s="334">
        <f>SUM(F7:F13)</f>
        <v>2090</v>
      </c>
      <c r="G14" s="334">
        <f>SUM(G7:G13)</f>
        <v>7242</v>
      </c>
      <c r="H14" s="334">
        <f>SUM(H7:H13)</f>
        <v>303</v>
      </c>
      <c r="FR14" s="465"/>
      <c r="FS14" s="110" t="s">
        <v>774</v>
      </c>
      <c r="FT14" s="17">
        <f>'[9]Account Corrections Support'!F124</f>
        <v>46</v>
      </c>
      <c r="FU14" s="17">
        <f>'[9]Account Corrections Support'!F125</f>
        <v>0</v>
      </c>
      <c r="FV14" s="17">
        <f>'[9]Account Corrections Support'!F126</f>
        <v>0</v>
      </c>
      <c r="FW14" s="17">
        <f>'[9]Account Corrections Support'!F127</f>
        <v>0</v>
      </c>
      <c r="FX14" s="17">
        <f>'[9]Account Corrections Support'!F128</f>
        <v>0</v>
      </c>
      <c r="FY14" s="17">
        <f>'[9]Account Corrections Support'!F129</f>
        <v>0</v>
      </c>
      <c r="FZ14" s="17">
        <f>'[9]Account Corrections Support'!F130</f>
        <v>0</v>
      </c>
      <c r="GA14" s="18">
        <f t="shared" si="5"/>
        <v>46</v>
      </c>
      <c r="GB14" s="23">
        <f t="shared" si="4"/>
        <v>1</v>
      </c>
    </row>
    <row r="15" spans="1:212">
      <c r="FR15" s="465"/>
      <c r="FS15" s="110" t="s">
        <v>775</v>
      </c>
      <c r="FT15" s="17">
        <f>'[9]Account Corrections Support'!$F52</f>
        <v>0</v>
      </c>
      <c r="FU15" s="17">
        <f>'[9]Account Corrections Support'!$F53</f>
        <v>125</v>
      </c>
      <c r="FV15" s="17">
        <f>'[9]Account Corrections Support'!$F54</f>
        <v>0</v>
      </c>
      <c r="FW15" s="17">
        <f>'[9]Account Corrections Support'!$F55</f>
        <v>0</v>
      </c>
      <c r="FX15" s="17">
        <f>'[9]Account Corrections Support'!$F56</f>
        <v>0</v>
      </c>
      <c r="FY15" s="17">
        <f>'[9]Account Corrections Support'!$F57</f>
        <v>0</v>
      </c>
      <c r="FZ15" s="17">
        <f>'[9]Account Corrections Support'!$F58</f>
        <v>0</v>
      </c>
      <c r="GA15" s="18">
        <f t="shared" si="5"/>
        <v>125</v>
      </c>
      <c r="GB15" s="23">
        <f t="shared" si="4"/>
        <v>1</v>
      </c>
    </row>
    <row r="16" spans="1:212">
      <c r="FR16" s="465"/>
      <c r="FS16" s="110" t="s">
        <v>776</v>
      </c>
      <c r="FT16" s="17">
        <f>'[9]Account Corrections Support'!$F64</f>
        <v>219</v>
      </c>
      <c r="FU16" s="17">
        <f>'[9]Account Corrections Support'!$F65</f>
        <v>0</v>
      </c>
      <c r="FV16" s="17">
        <f>'[9]Account Corrections Support'!$F66</f>
        <v>0</v>
      </c>
      <c r="FW16" s="17">
        <f>'[9]Account Corrections Support'!$F67</f>
        <v>0</v>
      </c>
      <c r="FX16" s="17">
        <f>'[9]Account Corrections Support'!$F68</f>
        <v>0</v>
      </c>
      <c r="FY16" s="17">
        <f>'[9]Account Corrections Support'!$F69</f>
        <v>0</v>
      </c>
      <c r="FZ16" s="17">
        <f>'[9]Account Corrections Support'!$F70</f>
        <v>0</v>
      </c>
      <c r="GA16" s="18">
        <f t="shared" si="5"/>
        <v>219</v>
      </c>
      <c r="GB16" s="23">
        <f t="shared" si="4"/>
        <v>1</v>
      </c>
    </row>
    <row r="17" spans="167:186">
      <c r="FR17" s="465"/>
      <c r="FS17" s="110" t="s">
        <v>777</v>
      </c>
      <c r="FT17" s="17">
        <f>'[9]Account Corrections Support'!$F4</f>
        <v>1</v>
      </c>
      <c r="FU17" s="17">
        <f>'[9]Account Corrections Support'!$F5</f>
        <v>1</v>
      </c>
      <c r="FV17" s="17">
        <f>'[9]Account Corrections Support'!$F6</f>
        <v>0</v>
      </c>
      <c r="FW17" s="17">
        <f>'[9]Account Corrections Support'!$F7</f>
        <v>0</v>
      </c>
      <c r="FX17" s="17">
        <f>'[9]Account Corrections Support'!$F8</f>
        <v>9</v>
      </c>
      <c r="FY17" s="17">
        <f>'[9]Account Corrections Support'!$F9</f>
        <v>3</v>
      </c>
      <c r="FZ17" s="17">
        <f>'[9]Account Corrections Support'!$F10</f>
        <v>93</v>
      </c>
      <c r="GA17" s="18">
        <f t="shared" si="5"/>
        <v>107</v>
      </c>
      <c r="GB17" s="23">
        <f t="shared" si="4"/>
        <v>5</v>
      </c>
    </row>
    <row r="18" spans="167:186" ht="15" hidden="1">
      <c r="FR18" s="465"/>
      <c r="FS18" s="110"/>
      <c r="FT18" s="17">
        <f>'[9]Account Corrections Support'!$F16</f>
        <v>0</v>
      </c>
      <c r="FU18" s="17">
        <f>'[9]Account Corrections Support'!$F17</f>
        <v>0</v>
      </c>
      <c r="FV18" s="17">
        <f>'[9]Account Corrections Support'!$F18</f>
        <v>0</v>
      </c>
      <c r="FW18" s="17">
        <f>'[9]Account Corrections Support'!$F19</f>
        <v>0</v>
      </c>
      <c r="FX18" s="17">
        <f>'[9]Account Corrections Support'!$F20</f>
        <v>0</v>
      </c>
      <c r="FY18" s="17">
        <f>'[9]Account Corrections Support'!$F21</f>
        <v>0</v>
      </c>
      <c r="FZ18" s="17">
        <f>'[9]Account Corrections Support'!$F22</f>
        <v>0</v>
      </c>
      <c r="GA18" s="18">
        <f t="shared" si="5"/>
        <v>0</v>
      </c>
      <c r="GB18" s="23">
        <f t="shared" si="4"/>
        <v>0</v>
      </c>
      <c r="GC18"/>
    </row>
    <row r="19" spans="167:186">
      <c r="FK19" s="40" t="s">
        <v>763</v>
      </c>
      <c r="FR19" s="465"/>
      <c r="FS19" s="110" t="s">
        <v>778</v>
      </c>
      <c r="FT19" s="17">
        <f>'[9]Account Corrections Support'!$F40</f>
        <v>0</v>
      </c>
      <c r="FU19" s="17">
        <f>'[9]Account Corrections Support'!$F41</f>
        <v>135</v>
      </c>
      <c r="FV19" s="17">
        <f>'[9]Account Corrections Support'!$F42</f>
        <v>0</v>
      </c>
      <c r="FW19" s="17">
        <f>'[9]Account Corrections Support'!$F43</f>
        <v>33</v>
      </c>
      <c r="FX19" s="17">
        <f>'[9]Account Corrections Support'!$F44</f>
        <v>0</v>
      </c>
      <c r="FY19" s="17">
        <f>'[9]Account Corrections Support'!$F22</f>
        <v>0</v>
      </c>
      <c r="FZ19" s="17">
        <f>'[9]Account Corrections Support'!$F46</f>
        <v>0</v>
      </c>
      <c r="GA19" s="18">
        <f t="shared" si="5"/>
        <v>168</v>
      </c>
      <c r="GB19" s="23">
        <f t="shared" si="4"/>
        <v>2</v>
      </c>
    </row>
    <row r="20" spans="167:186">
      <c r="FR20" s="465"/>
      <c r="FS20" s="110" t="s">
        <v>780</v>
      </c>
      <c r="FT20" s="17">
        <f>'[9]Account Corrections Support'!$F112</f>
        <v>0</v>
      </c>
      <c r="FU20" s="17">
        <f>'[9]Account Corrections Support'!$F113</f>
        <v>0</v>
      </c>
      <c r="FV20" s="17">
        <f>'[9]Account Corrections Support'!$F114</f>
        <v>0</v>
      </c>
      <c r="FW20" s="17">
        <f>'[9]Account Corrections Support'!$F115</f>
        <v>62</v>
      </c>
      <c r="FX20" s="17">
        <f>'[9]Account Corrections Support'!$F116</f>
        <v>67</v>
      </c>
      <c r="FY20" s="17">
        <f>'[9]Account Corrections Support'!$F117</f>
        <v>67</v>
      </c>
      <c r="FZ20" s="17">
        <f>'[9]Account Corrections Support'!$F118</f>
        <v>0</v>
      </c>
      <c r="GA20" s="18">
        <f t="shared" si="5"/>
        <v>196</v>
      </c>
      <c r="GB20" s="23">
        <f t="shared" si="4"/>
        <v>3</v>
      </c>
    </row>
    <row r="21" spans="167:186">
      <c r="FR21" s="465"/>
      <c r="FS21" s="116" t="s">
        <v>9</v>
      </c>
      <c r="FT21" s="163">
        <f>SUM(FT9:FT20)</f>
        <v>649</v>
      </c>
      <c r="FU21" s="163">
        <f t="shared" ref="FU21:FZ21" si="6">SUM(FU9:FU20)</f>
        <v>528</v>
      </c>
      <c r="FV21" s="163">
        <f t="shared" si="6"/>
        <v>1076</v>
      </c>
      <c r="FW21" s="163">
        <f t="shared" si="6"/>
        <v>95</v>
      </c>
      <c r="FX21" s="163">
        <f t="shared" si="6"/>
        <v>97</v>
      </c>
      <c r="FY21" s="163">
        <f t="shared" si="6"/>
        <v>92</v>
      </c>
      <c r="FZ21" s="163">
        <f t="shared" si="6"/>
        <v>93</v>
      </c>
      <c r="GA21" s="117">
        <f>SUM(GA9:GA20)</f>
        <v>2630</v>
      </c>
      <c r="GB21" s="117">
        <f t="shared" si="4"/>
        <v>7</v>
      </c>
    </row>
    <row r="22" spans="167:186" ht="15">
      <c r="FR22" s="465"/>
      <c r="FS22" s="466" t="s">
        <v>795</v>
      </c>
      <c r="FT22" s="467"/>
      <c r="FU22" s="467"/>
      <c r="FV22" s="467"/>
      <c r="FW22" s="467"/>
      <c r="FX22" s="467"/>
      <c r="FY22" s="467"/>
      <c r="FZ22" s="467"/>
      <c r="GA22" s="467"/>
      <c r="GB22" s="467"/>
    </row>
    <row r="23" spans="167:186">
      <c r="FR23" s="465"/>
      <c r="FS23" s="116" t="s">
        <v>765</v>
      </c>
      <c r="FT23" s="163" t="s">
        <v>796</v>
      </c>
      <c r="FU23" s="163" t="s">
        <v>797</v>
      </c>
      <c r="FV23" s="163" t="s">
        <v>798</v>
      </c>
      <c r="FW23" s="163" t="s">
        <v>799</v>
      </c>
      <c r="FX23" s="163" t="s">
        <v>800</v>
      </c>
      <c r="FY23" s="163" t="s">
        <v>801</v>
      </c>
      <c r="FZ23" s="163" t="s">
        <v>802</v>
      </c>
      <c r="GA23" s="163" t="s">
        <v>803</v>
      </c>
      <c r="GB23" s="163" t="s">
        <v>804</v>
      </c>
    </row>
    <row r="24" spans="167:186">
      <c r="FR24" s="465"/>
      <c r="FS24" s="110" t="s">
        <v>767</v>
      </c>
      <c r="FT24" s="216">
        <v>0</v>
      </c>
      <c r="FU24" s="216">
        <v>0</v>
      </c>
      <c r="FV24" s="216">
        <v>0</v>
      </c>
      <c r="FW24" s="216">
        <v>0</v>
      </c>
      <c r="FX24" s="216">
        <v>0</v>
      </c>
      <c r="FY24" s="216">
        <v>0</v>
      </c>
      <c r="FZ24" s="216">
        <v>0</v>
      </c>
      <c r="GA24" s="216">
        <v>0</v>
      </c>
      <c r="GB24" s="216">
        <v>0</v>
      </c>
    </row>
    <row r="25" spans="167:186" hidden="1">
      <c r="FR25" s="465"/>
      <c r="FS25" s="110"/>
      <c r="FT25" s="216">
        <v>0</v>
      </c>
      <c r="FU25" s="216">
        <v>0</v>
      </c>
      <c r="FV25" s="216">
        <v>0</v>
      </c>
      <c r="FW25" s="216">
        <v>0</v>
      </c>
      <c r="FX25" s="216">
        <v>0</v>
      </c>
      <c r="FY25" s="216">
        <v>0</v>
      </c>
      <c r="FZ25" s="216">
        <v>0</v>
      </c>
      <c r="GA25" s="216">
        <v>0</v>
      </c>
      <c r="GB25" s="216">
        <v>0</v>
      </c>
    </row>
    <row r="26" spans="167:186">
      <c r="FR26" s="465"/>
      <c r="FS26" s="110" t="s">
        <v>768</v>
      </c>
      <c r="FT26" s="216">
        <v>0</v>
      </c>
      <c r="FU26" s="216">
        <v>0</v>
      </c>
      <c r="FV26" s="216">
        <v>0</v>
      </c>
      <c r="FW26" s="216">
        <v>0</v>
      </c>
      <c r="FX26" s="216">
        <v>0</v>
      </c>
      <c r="FY26" s="216">
        <v>0</v>
      </c>
      <c r="FZ26" s="216">
        <v>0</v>
      </c>
      <c r="GA26" s="216">
        <v>0</v>
      </c>
      <c r="GB26" s="216">
        <v>0</v>
      </c>
    </row>
    <row r="27" spans="167:186">
      <c r="FR27" s="465"/>
      <c r="FS27" s="110" t="s">
        <v>769</v>
      </c>
      <c r="FT27" s="216">
        <v>0</v>
      </c>
      <c r="FU27" s="216">
        <v>0</v>
      </c>
      <c r="FV27" s="216">
        <v>0</v>
      </c>
      <c r="FW27" s="216">
        <v>1</v>
      </c>
      <c r="FX27" s="216">
        <v>0</v>
      </c>
      <c r="FY27" s="216">
        <v>0</v>
      </c>
      <c r="FZ27" s="216">
        <v>0</v>
      </c>
      <c r="GA27" s="216">
        <v>0</v>
      </c>
      <c r="GB27" s="216">
        <v>0</v>
      </c>
    </row>
    <row r="28" spans="167:186">
      <c r="FR28" s="465"/>
      <c r="FS28" s="110" t="s">
        <v>770</v>
      </c>
      <c r="FT28" s="216">
        <v>0</v>
      </c>
      <c r="FU28" s="216">
        <v>0</v>
      </c>
      <c r="FV28" s="216">
        <v>0</v>
      </c>
      <c r="FW28" s="216">
        <v>0</v>
      </c>
      <c r="FX28" s="216">
        <v>0</v>
      </c>
      <c r="FY28" s="216">
        <v>0</v>
      </c>
      <c r="FZ28" s="216">
        <v>0</v>
      </c>
      <c r="GA28" s="216">
        <v>0</v>
      </c>
      <c r="GB28" s="216">
        <v>0</v>
      </c>
    </row>
    <row r="29" spans="167:186">
      <c r="FR29" s="465"/>
      <c r="FS29" s="110" t="s">
        <v>771</v>
      </c>
      <c r="FT29" s="216">
        <v>1</v>
      </c>
      <c r="FU29" s="216">
        <v>0</v>
      </c>
      <c r="FV29" s="216">
        <v>0</v>
      </c>
      <c r="FW29" s="216">
        <v>0</v>
      </c>
      <c r="FX29" s="216">
        <v>0</v>
      </c>
      <c r="FY29" s="216">
        <v>0</v>
      </c>
      <c r="FZ29" s="216">
        <v>0</v>
      </c>
      <c r="GA29" s="216">
        <v>0</v>
      </c>
      <c r="GB29" s="216">
        <v>0</v>
      </c>
    </row>
    <row r="30" spans="167:186">
      <c r="FR30" s="465"/>
      <c r="FS30" s="110" t="s">
        <v>774</v>
      </c>
      <c r="FT30" s="216">
        <v>0</v>
      </c>
      <c r="FU30" s="216">
        <v>0</v>
      </c>
      <c r="FV30" s="216">
        <v>0</v>
      </c>
      <c r="FW30" s="216">
        <v>0</v>
      </c>
      <c r="FX30" s="216">
        <v>0</v>
      </c>
      <c r="FY30" s="216">
        <v>0</v>
      </c>
      <c r="FZ30" s="216">
        <v>0</v>
      </c>
      <c r="GA30" s="216">
        <v>0</v>
      </c>
      <c r="GB30" s="216">
        <v>0</v>
      </c>
    </row>
    <row r="31" spans="167:186">
      <c r="FR31" s="465"/>
      <c r="FS31" s="110" t="s">
        <v>775</v>
      </c>
      <c r="FT31" s="216">
        <v>0</v>
      </c>
      <c r="FU31" s="216">
        <v>3</v>
      </c>
      <c r="FV31" s="216">
        <v>0</v>
      </c>
      <c r="FW31" s="216">
        <v>0</v>
      </c>
      <c r="FX31" s="216">
        <v>0</v>
      </c>
      <c r="FY31" s="216">
        <v>0</v>
      </c>
      <c r="FZ31" s="216">
        <v>0</v>
      </c>
      <c r="GA31" s="216">
        <v>0</v>
      </c>
      <c r="GB31" s="216">
        <v>0</v>
      </c>
    </row>
    <row r="32" spans="167:186" ht="15">
      <c r="FR32" s="465"/>
      <c r="FS32" s="110" t="s">
        <v>805</v>
      </c>
      <c r="FT32" s="216">
        <v>21</v>
      </c>
      <c r="FU32" s="216">
        <v>0</v>
      </c>
      <c r="FV32" s="216">
        <v>0</v>
      </c>
      <c r="FW32" s="216">
        <v>0</v>
      </c>
      <c r="FX32" s="216">
        <v>0</v>
      </c>
      <c r="FY32" s="216">
        <v>0</v>
      </c>
      <c r="FZ32" s="216">
        <v>0</v>
      </c>
      <c r="GA32" s="216">
        <v>0</v>
      </c>
      <c r="GB32" s="216">
        <v>0</v>
      </c>
      <c r="GD32"/>
    </row>
    <row r="33" spans="174:186" ht="15">
      <c r="FR33" s="465"/>
      <c r="FS33" s="110" t="s">
        <v>776</v>
      </c>
      <c r="FT33" s="216">
        <v>0</v>
      </c>
      <c r="FU33" s="216">
        <v>1</v>
      </c>
      <c r="FV33" s="216">
        <v>0</v>
      </c>
      <c r="FW33" s="216">
        <v>0</v>
      </c>
      <c r="FX33" s="216">
        <v>0</v>
      </c>
      <c r="FY33" s="216">
        <v>0</v>
      </c>
      <c r="FZ33" s="216">
        <v>0</v>
      </c>
      <c r="GA33" s="216">
        <v>0</v>
      </c>
      <c r="GB33" s="216">
        <v>0</v>
      </c>
      <c r="GD33"/>
    </row>
    <row r="34" spans="174:186" ht="15">
      <c r="FR34" s="465"/>
      <c r="FS34" s="110" t="s">
        <v>777</v>
      </c>
      <c r="FT34" s="216">
        <v>0</v>
      </c>
      <c r="FU34" s="216">
        <v>0</v>
      </c>
      <c r="FV34" s="216">
        <v>4</v>
      </c>
      <c r="FW34" s="216">
        <v>0</v>
      </c>
      <c r="FX34" s="216">
        <v>0</v>
      </c>
      <c r="FY34" s="216">
        <v>3</v>
      </c>
      <c r="FZ34" s="216">
        <v>0</v>
      </c>
      <c r="GA34" s="216">
        <v>3</v>
      </c>
      <c r="GB34" s="216">
        <v>3</v>
      </c>
      <c r="GD34"/>
    </row>
    <row r="35" spans="174:186" ht="15" hidden="1">
      <c r="FR35" s="465"/>
      <c r="FS35" s="110" t="s">
        <v>806</v>
      </c>
      <c r="FT35" s="216">
        <v>0</v>
      </c>
      <c r="FU35" s="216">
        <v>0</v>
      </c>
      <c r="FV35" s="216">
        <v>0</v>
      </c>
      <c r="FW35" s="216">
        <v>0</v>
      </c>
      <c r="FX35" s="216">
        <v>0</v>
      </c>
      <c r="FY35" s="216">
        <v>0</v>
      </c>
      <c r="FZ35" s="216">
        <v>0</v>
      </c>
      <c r="GA35" s="216">
        <v>0</v>
      </c>
      <c r="GB35" s="216">
        <v>0</v>
      </c>
      <c r="GD35"/>
    </row>
    <row r="36" spans="174:186" ht="15">
      <c r="FR36" s="465"/>
      <c r="FS36" s="110" t="s">
        <v>778</v>
      </c>
      <c r="FT36" s="216">
        <v>0</v>
      </c>
      <c r="FU36" s="216">
        <v>0</v>
      </c>
      <c r="FV36" s="216">
        <v>3</v>
      </c>
      <c r="FW36" s="216">
        <v>0</v>
      </c>
      <c r="FX36" s="216">
        <v>0</v>
      </c>
      <c r="FY36" s="216">
        <v>0</v>
      </c>
      <c r="FZ36" s="216">
        <v>0</v>
      </c>
      <c r="GA36" s="216">
        <v>0</v>
      </c>
      <c r="GB36" s="216">
        <v>0</v>
      </c>
      <c r="GD36"/>
    </row>
    <row r="37" spans="174:186" ht="15">
      <c r="FR37" s="465"/>
      <c r="FS37" s="110" t="s">
        <v>780</v>
      </c>
      <c r="FT37" s="216">
        <v>0</v>
      </c>
      <c r="FU37" s="216">
        <v>0</v>
      </c>
      <c r="FV37" s="216">
        <v>0</v>
      </c>
      <c r="FW37" s="216">
        <v>0</v>
      </c>
      <c r="FX37" s="216">
        <v>2</v>
      </c>
      <c r="FY37" s="216">
        <v>0</v>
      </c>
      <c r="FZ37" s="216">
        <v>1</v>
      </c>
      <c r="GA37" s="216">
        <v>0</v>
      </c>
      <c r="GB37" s="216">
        <v>0</v>
      </c>
      <c r="GD37"/>
    </row>
    <row r="38" spans="174:186" ht="15">
      <c r="FR38" s="465"/>
      <c r="FS38" s="116" t="s">
        <v>9</v>
      </c>
      <c r="FT38" s="163">
        <f>SUM(FT25:FT37)</f>
        <v>22</v>
      </c>
      <c r="FU38" s="163">
        <f>SUM(FU25:FU37)</f>
        <v>4</v>
      </c>
      <c r="FV38" s="163">
        <f>SUM(FV25:FV37)</f>
        <v>7</v>
      </c>
      <c r="FW38" s="163">
        <f>SUM(FW25:FW37)</f>
        <v>1</v>
      </c>
      <c r="FX38" s="163">
        <f>SUM(FX25:FX37)</f>
        <v>2</v>
      </c>
      <c r="FY38" s="214">
        <f>SUM(FY24:FY37)</f>
        <v>3</v>
      </c>
      <c r="FZ38" s="163">
        <f>SUM(FZ25:FZ37)</f>
        <v>1</v>
      </c>
      <c r="GA38" s="163">
        <f>SUM(GA25:GA37)</f>
        <v>3</v>
      </c>
      <c r="GB38" s="163">
        <f>SUM(GB25:GB37)</f>
        <v>3</v>
      </c>
      <c r="GD38"/>
    </row>
    <row r="39" spans="174:186" ht="15">
      <c r="GD39"/>
    </row>
    <row r="40" spans="174:186" ht="15.75">
      <c r="FU40" s="455" t="s">
        <v>763</v>
      </c>
      <c r="FV40" s="456"/>
      <c r="FW40" s="456"/>
      <c r="FX40" s="456"/>
      <c r="FY40" s="456"/>
      <c r="FZ40" s="456"/>
      <c r="GA40" s="457"/>
      <c r="GD40"/>
    </row>
    <row r="41" spans="174:186" ht="15.75">
      <c r="FU41" s="458">
        <f>FK7</f>
        <v>45413</v>
      </c>
      <c r="FV41" s="459"/>
      <c r="FW41" s="459"/>
      <c r="FX41" s="459"/>
      <c r="FY41" s="459"/>
      <c r="FZ41" s="459"/>
      <c r="GA41" s="460"/>
      <c r="GD41"/>
    </row>
    <row r="42" spans="174:186" ht="15" customHeight="1">
      <c r="FU42" s="212" t="s">
        <v>807</v>
      </c>
      <c r="FV42" s="212" t="s">
        <v>808</v>
      </c>
      <c r="FW42" s="212" t="s">
        <v>809</v>
      </c>
      <c r="FX42" s="212" t="s">
        <v>810</v>
      </c>
      <c r="FY42" s="212" t="s">
        <v>811</v>
      </c>
      <c r="FZ42" s="212" t="s">
        <v>812</v>
      </c>
      <c r="GA42" s="212" t="s">
        <v>813</v>
      </c>
      <c r="GD42"/>
    </row>
    <row r="43" spans="174:186" ht="15">
      <c r="FU43" s="209"/>
      <c r="FV43" s="206"/>
      <c r="FW43" s="206"/>
      <c r="FX43" s="206">
        <v>45413</v>
      </c>
      <c r="FY43" s="206">
        <f t="shared" ref="FW43:GA45" si="7">FX43+1</f>
        <v>45414</v>
      </c>
      <c r="FZ43" s="206">
        <f t="shared" si="7"/>
        <v>45415</v>
      </c>
      <c r="GA43" s="206">
        <f t="shared" si="7"/>
        <v>45416</v>
      </c>
      <c r="GD43"/>
    </row>
    <row r="44" spans="174:186" ht="72">
      <c r="FU44" s="17"/>
      <c r="FV44" s="204"/>
      <c r="FW44" s="204"/>
      <c r="FX44" s="204" t="s">
        <v>814</v>
      </c>
      <c r="FY44" s="204" t="s">
        <v>815</v>
      </c>
      <c r="FZ44" s="204" t="s">
        <v>816</v>
      </c>
      <c r="GA44" s="17"/>
      <c r="GD44"/>
    </row>
    <row r="45" spans="174:186" ht="15">
      <c r="FU45" s="209">
        <f>GA43+1</f>
        <v>45417</v>
      </c>
      <c r="FV45" s="206">
        <f t="shared" ref="FV45" si="8">FU45+1</f>
        <v>45418</v>
      </c>
      <c r="FW45" s="206">
        <f t="shared" si="7"/>
        <v>45419</v>
      </c>
      <c r="FX45" s="206">
        <f t="shared" si="7"/>
        <v>45420</v>
      </c>
      <c r="FY45" s="206">
        <f t="shared" si="7"/>
        <v>45421</v>
      </c>
      <c r="FZ45" s="206">
        <f t="shared" si="7"/>
        <v>45422</v>
      </c>
      <c r="GA45" s="209">
        <f t="shared" si="7"/>
        <v>45423</v>
      </c>
      <c r="GD45"/>
    </row>
    <row r="46" spans="174:186" ht="36">
      <c r="FU46" s="17"/>
      <c r="FV46" s="204" t="s">
        <v>817</v>
      </c>
      <c r="FW46" s="204" t="s">
        <v>796</v>
      </c>
      <c r="FX46" s="204" t="s">
        <v>818</v>
      </c>
      <c r="FY46" s="204" t="s">
        <v>819</v>
      </c>
      <c r="FZ46" s="204" t="s">
        <v>820</v>
      </c>
      <c r="GA46" s="17"/>
      <c r="GD46"/>
    </row>
    <row r="47" spans="174:186" ht="15">
      <c r="FU47" s="209">
        <f>GA45+1</f>
        <v>45424</v>
      </c>
      <c r="FV47" s="206">
        <f t="shared" ref="FV47:GA47" si="9">FU47+1</f>
        <v>45425</v>
      </c>
      <c r="FW47" s="206">
        <f t="shared" si="9"/>
        <v>45426</v>
      </c>
      <c r="FX47" s="206">
        <f t="shared" si="9"/>
        <v>45427</v>
      </c>
      <c r="FY47" s="206">
        <f t="shared" si="9"/>
        <v>45428</v>
      </c>
      <c r="FZ47" s="206">
        <f t="shared" si="9"/>
        <v>45429</v>
      </c>
      <c r="GA47" s="209">
        <f t="shared" si="9"/>
        <v>45430</v>
      </c>
      <c r="GD47"/>
    </row>
    <row r="48" spans="174:186" ht="36">
      <c r="FU48" s="17"/>
      <c r="FV48" s="204" t="s">
        <v>821</v>
      </c>
      <c r="FW48" s="204" t="s">
        <v>796</v>
      </c>
      <c r="FX48" s="204" t="s">
        <v>822</v>
      </c>
      <c r="FY48" s="204" t="s">
        <v>821</v>
      </c>
      <c r="FZ48" s="204" t="s">
        <v>816</v>
      </c>
      <c r="GA48" s="17"/>
      <c r="GD48"/>
    </row>
    <row r="49" spans="177:186" ht="15">
      <c r="FU49" s="209">
        <f>GA47+1</f>
        <v>45431</v>
      </c>
      <c r="FV49" s="206">
        <f t="shared" ref="FV49:GA49" si="10">FU49+1</f>
        <v>45432</v>
      </c>
      <c r="FW49" s="206">
        <f t="shared" si="10"/>
        <v>45433</v>
      </c>
      <c r="FX49" s="206">
        <f t="shared" si="10"/>
        <v>45434</v>
      </c>
      <c r="FY49" s="206">
        <f t="shared" si="10"/>
        <v>45435</v>
      </c>
      <c r="FZ49" s="206">
        <f t="shared" si="10"/>
        <v>45436</v>
      </c>
      <c r="GA49" s="209">
        <f t="shared" si="10"/>
        <v>45437</v>
      </c>
      <c r="GD49"/>
    </row>
    <row r="50" spans="177:186" ht="36">
      <c r="FU50" s="17"/>
      <c r="FV50" s="204" t="s">
        <v>817</v>
      </c>
      <c r="FW50" s="204" t="s">
        <v>821</v>
      </c>
      <c r="FX50" s="204" t="s">
        <v>822</v>
      </c>
      <c r="FY50" s="204" t="s">
        <v>823</v>
      </c>
      <c r="FZ50" s="204" t="s">
        <v>824</v>
      </c>
      <c r="GA50" s="17"/>
      <c r="GD50"/>
    </row>
    <row r="51" spans="177:186" ht="15">
      <c r="FU51" s="209">
        <f>GA49+1</f>
        <v>45438</v>
      </c>
      <c r="FV51" s="206">
        <f t="shared" ref="FV51:FZ51" si="11">FU51+1</f>
        <v>45439</v>
      </c>
      <c r="FW51" s="206">
        <f t="shared" si="11"/>
        <v>45440</v>
      </c>
      <c r="FX51" s="206">
        <f t="shared" si="11"/>
        <v>45441</v>
      </c>
      <c r="FY51" s="206">
        <f t="shared" si="11"/>
        <v>45442</v>
      </c>
      <c r="FZ51" s="206">
        <f t="shared" si="11"/>
        <v>45443</v>
      </c>
      <c r="GA51" s="206"/>
      <c r="GD51"/>
    </row>
    <row r="52" spans="177:186" ht="48">
      <c r="FU52" s="17"/>
      <c r="FV52" s="204" t="s">
        <v>821</v>
      </c>
      <c r="FW52" s="204" t="s">
        <v>821</v>
      </c>
      <c r="FX52" s="204" t="s">
        <v>822</v>
      </c>
      <c r="FY52" s="204" t="s">
        <v>796</v>
      </c>
      <c r="FZ52" s="204" t="s">
        <v>825</v>
      </c>
      <c r="GA52" s="17"/>
      <c r="GD52"/>
    </row>
    <row r="53" spans="177:186" ht="15">
      <c r="GD53"/>
    </row>
    <row r="54" spans="177:186" ht="15">
      <c r="GD54"/>
    </row>
    <row r="55" spans="177:186" ht="15">
      <c r="GD55"/>
    </row>
    <row r="56" spans="177:186" ht="15">
      <c r="GD56"/>
    </row>
    <row r="57" spans="177:186" ht="15">
      <c r="GD57"/>
    </row>
    <row r="58" spans="177:186" ht="15" customHeight="1">
      <c r="GD58"/>
    </row>
    <row r="59" spans="177:186" ht="15">
      <c r="GD59"/>
    </row>
    <row r="60" spans="177:186" ht="15">
      <c r="GD60"/>
    </row>
    <row r="61" spans="177:186" ht="15">
      <c r="GD61"/>
    </row>
    <row r="62" spans="177:186" ht="15">
      <c r="GD62"/>
    </row>
    <row r="63" spans="177:186" ht="15">
      <c r="GD63"/>
    </row>
    <row r="64" spans="177:186" ht="15">
      <c r="GD64"/>
    </row>
    <row r="65" spans="186:186" ht="15">
      <c r="GD65"/>
    </row>
    <row r="66" spans="186:186" ht="15">
      <c r="GD66"/>
    </row>
    <row r="67" spans="186:186" ht="15">
      <c r="GD67"/>
    </row>
    <row r="68" spans="186:186" ht="15">
      <c r="GD68"/>
    </row>
    <row r="69" spans="186:186" ht="15">
      <c r="GD69"/>
    </row>
    <row r="70" spans="186:186" ht="15">
      <c r="GD70"/>
    </row>
    <row r="71" spans="186:186" ht="15">
      <c r="GD71"/>
    </row>
    <row r="72" spans="186:186" ht="15">
      <c r="GD72"/>
    </row>
    <row r="73" spans="186:186" ht="15">
      <c r="GD73"/>
    </row>
    <row r="74" spans="186:186" ht="15">
      <c r="GD74"/>
    </row>
    <row r="75" spans="186:186" ht="15">
      <c r="GD75"/>
    </row>
    <row r="76" spans="186:186" ht="15">
      <c r="GD76"/>
    </row>
    <row r="77" spans="186:186" ht="15">
      <c r="GD77"/>
    </row>
    <row r="78" spans="186:186" ht="15">
      <c r="GD78"/>
    </row>
    <row r="79" spans="186:186" ht="15">
      <c r="GD79"/>
    </row>
    <row r="80" spans="186:186" ht="15">
      <c r="GD80"/>
    </row>
    <row r="81" spans="186:186" ht="15">
      <c r="GD81"/>
    </row>
    <row r="82" spans="186:186" ht="15">
      <c r="GD82"/>
    </row>
    <row r="83" spans="186:186" ht="15">
      <c r="GD83"/>
    </row>
    <row r="84" spans="186:186" ht="15">
      <c r="GD84"/>
    </row>
    <row r="85" spans="186:186" ht="15">
      <c r="GD85"/>
    </row>
    <row r="86" spans="186:186" ht="15">
      <c r="GD86"/>
    </row>
    <row r="87" spans="186:186" ht="15">
      <c r="GD87"/>
    </row>
    <row r="88" spans="186:186" ht="15">
      <c r="GD88"/>
    </row>
    <row r="89" spans="186:186" ht="15">
      <c r="GD89"/>
    </row>
    <row r="90" spans="186:186" ht="15">
      <c r="GD90"/>
    </row>
    <row r="91" spans="186:186" ht="15">
      <c r="GD91"/>
    </row>
    <row r="92" spans="186:186" ht="15">
      <c r="GD92"/>
    </row>
    <row r="93" spans="186:186" ht="15">
      <c r="GD93"/>
    </row>
    <row r="94" spans="186:186" ht="15">
      <c r="GD94"/>
    </row>
    <row r="95" spans="186:186" ht="15">
      <c r="GD95"/>
    </row>
    <row r="96" spans="186:186" ht="15">
      <c r="GD96"/>
    </row>
    <row r="97" spans="186:186" ht="15">
      <c r="GD97"/>
    </row>
    <row r="98" spans="186:186" ht="15">
      <c r="GD98"/>
    </row>
    <row r="99" spans="186:186" ht="15">
      <c r="GD99"/>
    </row>
    <row r="100" spans="186:186" ht="15">
      <c r="GD100"/>
    </row>
    <row r="101" spans="186:186" ht="15">
      <c r="GD101"/>
    </row>
    <row r="102" spans="186:186" ht="15">
      <c r="GD102"/>
    </row>
    <row r="103" spans="186:186" ht="15">
      <c r="GD103"/>
    </row>
    <row r="104" spans="186:186" ht="15">
      <c r="GD104"/>
    </row>
    <row r="105" spans="186:186" ht="15">
      <c r="GD105"/>
    </row>
    <row r="106" spans="186:186" ht="15">
      <c r="GD106"/>
    </row>
    <row r="107" spans="186:186" ht="15">
      <c r="GD107"/>
    </row>
    <row r="108" spans="186:186" ht="15">
      <c r="GD108"/>
    </row>
    <row r="109" spans="186:186" ht="15">
      <c r="GD109"/>
    </row>
    <row r="110" spans="186:186" ht="15">
      <c r="GD110"/>
    </row>
    <row r="111" spans="186:186" ht="15">
      <c r="GD111"/>
    </row>
    <row r="112" spans="186:186" ht="15">
      <c r="GD112"/>
    </row>
    <row r="113" spans="186:186" ht="15">
      <c r="GD113"/>
    </row>
    <row r="114" spans="186:186" ht="15">
      <c r="GD114"/>
    </row>
    <row r="115" spans="186:186" ht="15">
      <c r="GD115"/>
    </row>
    <row r="116" spans="186:186" ht="15">
      <c r="GD116"/>
    </row>
    <row r="117" spans="186:186" ht="15">
      <c r="GD117"/>
    </row>
    <row r="118" spans="186:186" ht="15">
      <c r="GD118"/>
    </row>
    <row r="119" spans="186:186" ht="15">
      <c r="GD119"/>
    </row>
    <row r="120" spans="186:186" ht="15">
      <c r="GD120"/>
    </row>
    <row r="121" spans="186:186" ht="15">
      <c r="GD121"/>
    </row>
    <row r="122" spans="186:186" ht="15">
      <c r="GD122"/>
    </row>
    <row r="123" spans="186:186" ht="15">
      <c r="GD123"/>
    </row>
    <row r="124" spans="186:186" ht="15">
      <c r="GD124"/>
    </row>
    <row r="125" spans="186:186" ht="15">
      <c r="GD125"/>
    </row>
    <row r="126" spans="186:186" ht="15">
      <c r="GD126"/>
    </row>
    <row r="127" spans="186:186" ht="15">
      <c r="GD127"/>
    </row>
    <row r="128" spans="186:186" ht="15">
      <c r="GD128"/>
    </row>
    <row r="129" spans="186:186" ht="15">
      <c r="GD129"/>
    </row>
    <row r="130" spans="186:186" ht="15">
      <c r="GD130"/>
    </row>
    <row r="131" spans="186:186" ht="15">
      <c r="GD131"/>
    </row>
    <row r="132" spans="186:186" ht="15">
      <c r="GD132"/>
    </row>
    <row r="133" spans="186:186" ht="15">
      <c r="GD133"/>
    </row>
    <row r="134" spans="186:186" ht="15">
      <c r="GD134"/>
    </row>
    <row r="135" spans="186:186" ht="15">
      <c r="GD135"/>
    </row>
    <row r="136" spans="186:186" ht="15">
      <c r="GD136"/>
    </row>
    <row r="137" spans="186:186" ht="15">
      <c r="GD137"/>
    </row>
    <row r="138" spans="186:186" ht="15">
      <c r="GD138"/>
    </row>
    <row r="139" spans="186:186" ht="15">
      <c r="GD139"/>
    </row>
    <row r="140" spans="186:186" ht="15">
      <c r="GD140"/>
    </row>
    <row r="141" spans="186:186" ht="15">
      <c r="GD141"/>
    </row>
    <row r="142" spans="186:186" ht="15">
      <c r="GD142"/>
    </row>
    <row r="143" spans="186:186" ht="15">
      <c r="GD143"/>
    </row>
    <row r="144" spans="186:186" ht="15">
      <c r="GD144"/>
    </row>
    <row r="145" spans="186:186" ht="15">
      <c r="GD145"/>
    </row>
    <row r="146" spans="186:186" ht="15">
      <c r="GD146"/>
    </row>
    <row r="147" spans="186:186" ht="15">
      <c r="GD147"/>
    </row>
    <row r="148" spans="186:186" ht="15">
      <c r="GD148"/>
    </row>
    <row r="149" spans="186:186" ht="15">
      <c r="GD149"/>
    </row>
    <row r="150" spans="186:186" ht="15">
      <c r="GD150"/>
    </row>
    <row r="151" spans="186:186" ht="15">
      <c r="GD151"/>
    </row>
    <row r="152" spans="186:186" ht="15">
      <c r="GD152"/>
    </row>
    <row r="153" spans="186:186" ht="15">
      <c r="GD153"/>
    </row>
    <row r="154" spans="186:186" ht="15">
      <c r="GD154"/>
    </row>
    <row r="155" spans="186:186" ht="15">
      <c r="GD155"/>
    </row>
    <row r="156" spans="186:186" ht="15">
      <c r="GD156"/>
    </row>
    <row r="157" spans="186:186" ht="15">
      <c r="GD157"/>
    </row>
    <row r="158" spans="186:186" ht="15">
      <c r="GD158"/>
    </row>
    <row r="159" spans="186:186" ht="15">
      <c r="GD159"/>
    </row>
    <row r="160" spans="186:186" ht="15">
      <c r="GD160"/>
    </row>
    <row r="161" spans="186:186" ht="15">
      <c r="GD161"/>
    </row>
    <row r="162" spans="186:186" ht="15">
      <c r="GD162"/>
    </row>
    <row r="163" spans="186:186" ht="15">
      <c r="GD163"/>
    </row>
    <row r="164" spans="186:186" ht="15">
      <c r="GD164"/>
    </row>
    <row r="165" spans="186:186" ht="15">
      <c r="GD165"/>
    </row>
    <row r="166" spans="186:186" ht="15">
      <c r="GD166"/>
    </row>
    <row r="167" spans="186:186" ht="15">
      <c r="GD167"/>
    </row>
    <row r="168" spans="186:186" ht="15">
      <c r="GD168"/>
    </row>
    <row r="169" spans="186:186" ht="15">
      <c r="GD169"/>
    </row>
    <row r="170" spans="186:186" ht="15">
      <c r="GD170"/>
    </row>
    <row r="171" spans="186:186" ht="15">
      <c r="GD171"/>
    </row>
    <row r="172" spans="186:186" ht="15">
      <c r="GD172"/>
    </row>
    <row r="173" spans="186:186" ht="15">
      <c r="GD173"/>
    </row>
    <row r="174" spans="186:186" ht="15">
      <c r="GD174"/>
    </row>
    <row r="175" spans="186:186" ht="15">
      <c r="GD175"/>
    </row>
    <row r="176" spans="186:186" ht="15">
      <c r="GD176"/>
    </row>
    <row r="177" spans="186:186" ht="15">
      <c r="GD177"/>
    </row>
    <row r="178" spans="186:186" ht="15">
      <c r="GD178"/>
    </row>
    <row r="179" spans="186:186" ht="15">
      <c r="GD179"/>
    </row>
    <row r="180" spans="186:186" ht="15">
      <c r="GD180"/>
    </row>
    <row r="181" spans="186:186" ht="15">
      <c r="GD181"/>
    </row>
    <row r="182" spans="186:186" ht="15">
      <c r="GD182"/>
    </row>
    <row r="183" spans="186:186" ht="15">
      <c r="GD183"/>
    </row>
    <row r="184" spans="186:186" ht="15">
      <c r="GD184"/>
    </row>
    <row r="185" spans="186:186" ht="15">
      <c r="GD185"/>
    </row>
    <row r="186" spans="186:186" ht="15">
      <c r="GD186"/>
    </row>
    <row r="187" spans="186:186" ht="15">
      <c r="GD187"/>
    </row>
    <row r="188" spans="186:186" ht="15">
      <c r="GD188"/>
    </row>
    <row r="189" spans="186:186" ht="15">
      <c r="GD189"/>
    </row>
    <row r="190" spans="186:186" ht="15">
      <c r="GD190"/>
    </row>
    <row r="191" spans="186:186" ht="15">
      <c r="GD191"/>
    </row>
    <row r="192" spans="186:186" ht="15">
      <c r="GD192"/>
    </row>
    <row r="193" spans="186:186" ht="15">
      <c r="GD193"/>
    </row>
    <row r="194" spans="186:186" ht="15">
      <c r="GD194"/>
    </row>
    <row r="195" spans="186:186" ht="15">
      <c r="GD195"/>
    </row>
    <row r="196" spans="186:186" ht="15">
      <c r="GD196"/>
    </row>
    <row r="197" spans="186:186" ht="15">
      <c r="GD197"/>
    </row>
    <row r="198" spans="186:186" ht="15">
      <c r="GD198"/>
    </row>
    <row r="199" spans="186:186" ht="15">
      <c r="GD199"/>
    </row>
    <row r="200" spans="186:186" ht="15">
      <c r="GD200"/>
    </row>
    <row r="201" spans="186:186" ht="15">
      <c r="GD201"/>
    </row>
    <row r="202" spans="186:186" ht="15">
      <c r="GD202"/>
    </row>
    <row r="203" spans="186:186" ht="15">
      <c r="GD203"/>
    </row>
    <row r="204" spans="186:186" ht="15">
      <c r="GD204"/>
    </row>
    <row r="205" spans="186:186" ht="15">
      <c r="GD205"/>
    </row>
    <row r="206" spans="186:186" ht="15">
      <c r="GD206"/>
    </row>
    <row r="207" spans="186:186" ht="15">
      <c r="GD207"/>
    </row>
    <row r="208" spans="186:186" ht="15">
      <c r="GD208"/>
    </row>
    <row r="209" spans="186:186" ht="15">
      <c r="GD209"/>
    </row>
    <row r="210" spans="186:186" ht="15">
      <c r="GD210"/>
    </row>
    <row r="211" spans="186:186" ht="15">
      <c r="GD211"/>
    </row>
    <row r="212" spans="186:186" ht="15">
      <c r="GD212"/>
    </row>
    <row r="213" spans="186:186" ht="15">
      <c r="GD213"/>
    </row>
    <row r="214" spans="186:186" ht="15">
      <c r="GD214"/>
    </row>
    <row r="215" spans="186:186" ht="15">
      <c r="GD215"/>
    </row>
    <row r="216" spans="186:186" ht="15">
      <c r="GD216"/>
    </row>
    <row r="217" spans="186:186" ht="15">
      <c r="GD217"/>
    </row>
    <row r="218" spans="186:186" ht="15">
      <c r="GD218"/>
    </row>
    <row r="219" spans="186:186" ht="15">
      <c r="GD219"/>
    </row>
    <row r="220" spans="186:186" ht="15">
      <c r="GD220"/>
    </row>
    <row r="221" spans="186:186" ht="15">
      <c r="GD221"/>
    </row>
    <row r="222" spans="186:186" ht="15">
      <c r="GD222"/>
    </row>
    <row r="223" spans="186:186" ht="15">
      <c r="GD223"/>
    </row>
    <row r="224" spans="186:186" ht="15">
      <c r="GD224"/>
    </row>
    <row r="225" spans="186:186" ht="15">
      <c r="GD225"/>
    </row>
    <row r="226" spans="186:186" ht="15">
      <c r="GD226"/>
    </row>
    <row r="227" spans="186:186" ht="15">
      <c r="GD227"/>
    </row>
    <row r="228" spans="186:186" ht="15">
      <c r="GD228"/>
    </row>
    <row r="229" spans="186:186" ht="15">
      <c r="GD229"/>
    </row>
    <row r="230" spans="186:186" ht="15">
      <c r="GD230"/>
    </row>
    <row r="231" spans="186:186" ht="15">
      <c r="GD231"/>
    </row>
    <row r="232" spans="186:186" ht="15">
      <c r="GD232"/>
    </row>
    <row r="233" spans="186:186" ht="15">
      <c r="GD233"/>
    </row>
    <row r="234" spans="186:186" ht="15">
      <c r="GD234"/>
    </row>
    <row r="235" spans="186:186" ht="15">
      <c r="GD235"/>
    </row>
    <row r="236" spans="186:186" ht="15">
      <c r="GD236"/>
    </row>
    <row r="237" spans="186:186" ht="15">
      <c r="GD237"/>
    </row>
    <row r="238" spans="186:186" ht="15">
      <c r="GD238"/>
    </row>
    <row r="239" spans="186:186" ht="15">
      <c r="GD239"/>
    </row>
    <row r="240" spans="186:186" ht="15">
      <c r="GD240"/>
    </row>
    <row r="241" spans="186:186" ht="15">
      <c r="GD241"/>
    </row>
    <row r="242" spans="186:186" ht="15">
      <c r="GD242"/>
    </row>
    <row r="243" spans="186:186" ht="15">
      <c r="GD243"/>
    </row>
    <row r="244" spans="186:186" ht="15">
      <c r="GD244"/>
    </row>
    <row r="245" spans="186:186" ht="15">
      <c r="GD245"/>
    </row>
    <row r="246" spans="186:186" ht="15">
      <c r="GD246"/>
    </row>
    <row r="247" spans="186:186" ht="15">
      <c r="GD247"/>
    </row>
    <row r="248" spans="186:186" ht="15">
      <c r="GD248"/>
    </row>
    <row r="249" spans="186:186" ht="15">
      <c r="GD249"/>
    </row>
    <row r="250" spans="186:186" ht="15">
      <c r="GD250"/>
    </row>
    <row r="251" spans="186:186" ht="15">
      <c r="GD251"/>
    </row>
    <row r="252" spans="186:186" ht="15">
      <c r="GD252"/>
    </row>
    <row r="253" spans="186:186" ht="15">
      <c r="GD253"/>
    </row>
    <row r="254" spans="186:186" ht="15">
      <c r="GD254"/>
    </row>
    <row r="255" spans="186:186" ht="15">
      <c r="GD255"/>
    </row>
    <row r="256" spans="186:186" ht="15">
      <c r="GD256"/>
    </row>
    <row r="257" spans="186:186" ht="15">
      <c r="GD257"/>
    </row>
    <row r="258" spans="186:186" ht="15">
      <c r="GD258"/>
    </row>
    <row r="259" spans="186:186" ht="15">
      <c r="GD259"/>
    </row>
    <row r="260" spans="186:186" ht="15">
      <c r="GD260"/>
    </row>
    <row r="261" spans="186:186" ht="15">
      <c r="GD261"/>
    </row>
    <row r="262" spans="186:186" ht="15">
      <c r="GD262"/>
    </row>
    <row r="263" spans="186:186" ht="15">
      <c r="GD263"/>
    </row>
    <row r="264" spans="186:186" ht="15">
      <c r="GD264"/>
    </row>
    <row r="265" spans="186:186" ht="15">
      <c r="GD265"/>
    </row>
    <row r="266" spans="186:186" ht="15">
      <c r="GD266"/>
    </row>
    <row r="267" spans="186:186" ht="15">
      <c r="GD267"/>
    </row>
    <row r="268" spans="186:186" ht="15">
      <c r="GD268"/>
    </row>
    <row r="269" spans="186:186" ht="15">
      <c r="GD269"/>
    </row>
    <row r="270" spans="186:186" ht="15">
      <c r="GD270"/>
    </row>
    <row r="271" spans="186:186" ht="15">
      <c r="GD271"/>
    </row>
    <row r="272" spans="186:186" ht="15">
      <c r="GD272"/>
    </row>
    <row r="273" spans="186:186" ht="15">
      <c r="GD273"/>
    </row>
    <row r="274" spans="186:186" ht="15">
      <c r="GD274"/>
    </row>
    <row r="275" spans="186:186" ht="15">
      <c r="GD275"/>
    </row>
    <row r="276" spans="186:186" ht="15">
      <c r="GD276"/>
    </row>
    <row r="277" spans="186:186" ht="15">
      <c r="GD277"/>
    </row>
    <row r="278" spans="186:186" ht="15">
      <c r="GD278"/>
    </row>
    <row r="279" spans="186:186" ht="15">
      <c r="GD279"/>
    </row>
    <row r="280" spans="186:186" ht="15">
      <c r="GD280"/>
    </row>
    <row r="281" spans="186:186" ht="15">
      <c r="GD281"/>
    </row>
    <row r="282" spans="186:186" ht="15">
      <c r="GD282"/>
    </row>
    <row r="283" spans="186:186" ht="15">
      <c r="GD283"/>
    </row>
    <row r="284" spans="186:186" ht="15">
      <c r="GD284"/>
    </row>
    <row r="285" spans="186:186" ht="15">
      <c r="GD285"/>
    </row>
    <row r="286" spans="186:186" ht="15">
      <c r="GD286"/>
    </row>
    <row r="287" spans="186:186" ht="15">
      <c r="GD287"/>
    </row>
    <row r="288" spans="186:186" ht="15">
      <c r="GD288"/>
    </row>
    <row r="289" spans="186:186" ht="15">
      <c r="GD289"/>
    </row>
    <row r="290" spans="186:186" ht="15">
      <c r="GD290"/>
    </row>
    <row r="291" spans="186:186" ht="15">
      <c r="GD291"/>
    </row>
    <row r="292" spans="186:186" ht="15">
      <c r="GD292"/>
    </row>
    <row r="293" spans="186:186" ht="15">
      <c r="GD293"/>
    </row>
    <row r="294" spans="186:186" ht="15">
      <c r="GD294"/>
    </row>
    <row r="295" spans="186:186" ht="15">
      <c r="GD295"/>
    </row>
    <row r="296" spans="186:186" ht="15">
      <c r="GD296"/>
    </row>
    <row r="297" spans="186:186" ht="15">
      <c r="GD297"/>
    </row>
    <row r="298" spans="186:186" ht="15">
      <c r="GD298"/>
    </row>
    <row r="299" spans="186:186" ht="15">
      <c r="GD299"/>
    </row>
    <row r="300" spans="186:186" ht="15">
      <c r="GD300"/>
    </row>
    <row r="301" spans="186:186" ht="15">
      <c r="GD301"/>
    </row>
    <row r="302" spans="186:186" ht="15">
      <c r="GD302"/>
    </row>
    <row r="303" spans="186:186" ht="15">
      <c r="GD303"/>
    </row>
    <row r="304" spans="186:186" ht="15">
      <c r="GD304"/>
    </row>
    <row r="305" spans="186:186" ht="15">
      <c r="GD305"/>
    </row>
    <row r="306" spans="186:186" ht="15">
      <c r="GD306"/>
    </row>
    <row r="307" spans="186:186" ht="15">
      <c r="GD307"/>
    </row>
    <row r="308" spans="186:186" ht="15">
      <c r="GD308"/>
    </row>
    <row r="309" spans="186:186" ht="15">
      <c r="GD309"/>
    </row>
    <row r="310" spans="186:186" ht="15">
      <c r="GD310"/>
    </row>
    <row r="311" spans="186:186" ht="15">
      <c r="GD311"/>
    </row>
    <row r="312" spans="186:186" ht="15">
      <c r="GD312"/>
    </row>
    <row r="313" spans="186:186" ht="15">
      <c r="GD313"/>
    </row>
    <row r="314" spans="186:186" ht="15">
      <c r="GD314"/>
    </row>
    <row r="315" spans="186:186" ht="15">
      <c r="GD315"/>
    </row>
    <row r="316" spans="186:186" ht="15">
      <c r="GD316"/>
    </row>
    <row r="317" spans="186:186" ht="15">
      <c r="GD317"/>
    </row>
    <row r="318" spans="186:186" ht="15">
      <c r="GD318"/>
    </row>
    <row r="319" spans="186:186" ht="15">
      <c r="GD319"/>
    </row>
    <row r="320" spans="186:186" ht="15">
      <c r="GD320"/>
    </row>
    <row r="321" spans="186:186" ht="15">
      <c r="GD321"/>
    </row>
    <row r="322" spans="186:186" ht="15">
      <c r="GD322"/>
    </row>
    <row r="323" spans="186:186" ht="15">
      <c r="GD323"/>
    </row>
    <row r="324" spans="186:186" ht="15">
      <c r="GD324"/>
    </row>
    <row r="325" spans="186:186" ht="15">
      <c r="GD325"/>
    </row>
    <row r="326" spans="186:186" ht="15">
      <c r="GD326"/>
    </row>
    <row r="327" spans="186:186" ht="15">
      <c r="GD327"/>
    </row>
    <row r="328" spans="186:186" ht="15">
      <c r="GD328"/>
    </row>
    <row r="329" spans="186:186" ht="15">
      <c r="GD329"/>
    </row>
    <row r="330" spans="186:186" ht="15">
      <c r="GD330"/>
    </row>
    <row r="331" spans="186:186" ht="15">
      <c r="GD331"/>
    </row>
    <row r="332" spans="186:186" ht="15">
      <c r="GD332"/>
    </row>
    <row r="333" spans="186:186" ht="15">
      <c r="GD333"/>
    </row>
    <row r="334" spans="186:186" ht="15">
      <c r="GD334"/>
    </row>
    <row r="335" spans="186:186" ht="15">
      <c r="GD335"/>
    </row>
    <row r="336" spans="186:186" ht="15">
      <c r="GD336"/>
    </row>
    <row r="337" spans="186:186" ht="15">
      <c r="GD337"/>
    </row>
    <row r="338" spans="186:186" ht="15">
      <c r="GD338"/>
    </row>
    <row r="339" spans="186:186" ht="15">
      <c r="GD339"/>
    </row>
    <row r="340" spans="186:186" ht="15">
      <c r="GD340"/>
    </row>
    <row r="341" spans="186:186" ht="15">
      <c r="GD341"/>
    </row>
    <row r="342" spans="186:186" ht="15">
      <c r="GD342"/>
    </row>
    <row r="343" spans="186:186" ht="15">
      <c r="GD343"/>
    </row>
    <row r="344" spans="186:186" ht="15">
      <c r="GD344"/>
    </row>
    <row r="345" spans="186:186" ht="15">
      <c r="GD345"/>
    </row>
    <row r="346" spans="186:186" ht="15">
      <c r="GD346"/>
    </row>
    <row r="347" spans="186:186" ht="15">
      <c r="GD347"/>
    </row>
    <row r="348" spans="186:186" ht="15">
      <c r="GD348"/>
    </row>
    <row r="349" spans="186:186" ht="15">
      <c r="GD349"/>
    </row>
    <row r="350" spans="186:186" ht="15">
      <c r="GD350"/>
    </row>
    <row r="351" spans="186:186" ht="15">
      <c r="GD351"/>
    </row>
    <row r="352" spans="186:186" ht="15">
      <c r="GD352"/>
    </row>
    <row r="353" spans="186:186" ht="15">
      <c r="GD353"/>
    </row>
    <row r="354" spans="186:186" ht="15">
      <c r="GD354"/>
    </row>
    <row r="355" spans="186:186" ht="15">
      <c r="GD355"/>
    </row>
    <row r="356" spans="186:186" ht="15">
      <c r="GD356"/>
    </row>
    <row r="357" spans="186:186" ht="15">
      <c r="GD357"/>
    </row>
    <row r="358" spans="186:186" ht="15">
      <c r="GD358"/>
    </row>
    <row r="359" spans="186:186" ht="15">
      <c r="GD359"/>
    </row>
    <row r="360" spans="186:186" ht="15">
      <c r="GD360"/>
    </row>
    <row r="361" spans="186:186" ht="15">
      <c r="GD361"/>
    </row>
    <row r="362" spans="186:186" ht="15">
      <c r="GD362"/>
    </row>
    <row r="363" spans="186:186" ht="15">
      <c r="GD363"/>
    </row>
    <row r="364" spans="186:186" ht="15">
      <c r="GD364"/>
    </row>
    <row r="365" spans="186:186" ht="15">
      <c r="GD365"/>
    </row>
    <row r="366" spans="186:186" ht="15">
      <c r="GD366"/>
    </row>
    <row r="367" spans="186:186" ht="15">
      <c r="GD367"/>
    </row>
    <row r="368" spans="186:186" ht="15">
      <c r="GD368"/>
    </row>
    <row r="369" spans="186:186" ht="15">
      <c r="GD369"/>
    </row>
    <row r="370" spans="186:186" ht="15">
      <c r="GD370"/>
    </row>
    <row r="371" spans="186:186" ht="15">
      <c r="GD371"/>
    </row>
    <row r="372" spans="186:186" ht="15">
      <c r="GD372"/>
    </row>
    <row r="373" spans="186:186" ht="15">
      <c r="GD373"/>
    </row>
    <row r="374" spans="186:186" ht="15">
      <c r="GD374"/>
    </row>
    <row r="375" spans="186:186" ht="15">
      <c r="GD375"/>
    </row>
    <row r="376" spans="186:186" ht="15">
      <c r="GD376"/>
    </row>
    <row r="377" spans="186:186" ht="15">
      <c r="GD377"/>
    </row>
    <row r="378" spans="186:186" ht="15">
      <c r="GD378"/>
    </row>
    <row r="379" spans="186:186" ht="15">
      <c r="GD379"/>
    </row>
    <row r="380" spans="186:186" ht="15">
      <c r="GD380"/>
    </row>
    <row r="381" spans="186:186" ht="15">
      <c r="GD381"/>
    </row>
    <row r="382" spans="186:186" ht="15">
      <c r="GD382"/>
    </row>
    <row r="383" spans="186:186" ht="15">
      <c r="GD383"/>
    </row>
    <row r="384" spans="186:186" ht="15">
      <c r="GD384"/>
    </row>
    <row r="385" spans="186:186" ht="15">
      <c r="GD385"/>
    </row>
    <row r="386" spans="186:186" ht="15">
      <c r="GD386"/>
    </row>
    <row r="387" spans="186:186" ht="15">
      <c r="GD387"/>
    </row>
    <row r="388" spans="186:186" ht="15">
      <c r="GD388"/>
    </row>
    <row r="389" spans="186:186" ht="15">
      <c r="GD389"/>
    </row>
    <row r="390" spans="186:186" ht="15">
      <c r="GD390"/>
    </row>
    <row r="391" spans="186:186" ht="15">
      <c r="GD391"/>
    </row>
    <row r="392" spans="186:186" ht="15">
      <c r="GD392"/>
    </row>
    <row r="393" spans="186:186" ht="15">
      <c r="GD393"/>
    </row>
    <row r="394" spans="186:186" ht="15">
      <c r="GD394"/>
    </row>
    <row r="395" spans="186:186" ht="15">
      <c r="GD395"/>
    </row>
    <row r="396" spans="186:186" ht="15">
      <c r="GD396"/>
    </row>
    <row r="397" spans="186:186" ht="15">
      <c r="GD397"/>
    </row>
    <row r="398" spans="186:186" ht="15">
      <c r="GD398"/>
    </row>
    <row r="399" spans="186:186" ht="15">
      <c r="GD399"/>
    </row>
    <row r="400" spans="186:186" ht="15">
      <c r="GD400"/>
    </row>
    <row r="401" spans="186:186" ht="15">
      <c r="GD401"/>
    </row>
    <row r="402" spans="186:186" ht="15">
      <c r="GD402"/>
    </row>
    <row r="403" spans="186:186" ht="15">
      <c r="GD403"/>
    </row>
    <row r="404" spans="186:186" ht="15">
      <c r="GD404"/>
    </row>
    <row r="405" spans="186:186" ht="15">
      <c r="GD405"/>
    </row>
    <row r="406" spans="186:186" ht="15">
      <c r="GD406"/>
    </row>
    <row r="407" spans="186:186" ht="15">
      <c r="GD407"/>
    </row>
    <row r="408" spans="186:186" ht="15">
      <c r="GD408"/>
    </row>
    <row r="409" spans="186:186" ht="15">
      <c r="GD409"/>
    </row>
    <row r="410" spans="186:186" ht="15">
      <c r="GD410"/>
    </row>
    <row r="411" spans="186:186" ht="15">
      <c r="GD411"/>
    </row>
    <row r="412" spans="186:186" ht="15">
      <c r="GD412"/>
    </row>
    <row r="413" spans="186:186" ht="15">
      <c r="GD413"/>
    </row>
    <row r="414" spans="186:186" ht="15">
      <c r="GD414"/>
    </row>
    <row r="415" spans="186:186" ht="15">
      <c r="GD415"/>
    </row>
    <row r="416" spans="186:186" ht="15">
      <c r="GD416"/>
    </row>
    <row r="417" spans="186:186" ht="15">
      <c r="GD417"/>
    </row>
    <row r="418" spans="186:186" ht="15">
      <c r="GD418"/>
    </row>
    <row r="419" spans="186:186" ht="15">
      <c r="GD419"/>
    </row>
    <row r="420" spans="186:186" ht="15">
      <c r="GD420"/>
    </row>
    <row r="421" spans="186:186" ht="15">
      <c r="GD421"/>
    </row>
    <row r="422" spans="186:186" ht="15">
      <c r="GD422"/>
    </row>
    <row r="423" spans="186:186" ht="15">
      <c r="GD423"/>
    </row>
    <row r="424" spans="186:186" ht="15">
      <c r="GD424"/>
    </row>
    <row r="425" spans="186:186" ht="15">
      <c r="GD425"/>
    </row>
    <row r="426" spans="186:186" ht="15">
      <c r="GD426"/>
    </row>
    <row r="427" spans="186:186" ht="15">
      <c r="GD427"/>
    </row>
    <row r="428" spans="186:186" ht="15">
      <c r="GD428"/>
    </row>
    <row r="429" spans="186:186" ht="15">
      <c r="GD429"/>
    </row>
    <row r="430" spans="186:186" ht="15">
      <c r="GD430"/>
    </row>
    <row r="431" spans="186:186" ht="15">
      <c r="GD431"/>
    </row>
    <row r="432" spans="186:186" ht="15">
      <c r="GD432"/>
    </row>
    <row r="433" spans="186:186" ht="15">
      <c r="GD433"/>
    </row>
    <row r="434" spans="186:186" ht="15">
      <c r="GD434"/>
    </row>
    <row r="435" spans="186:186" ht="15">
      <c r="GD435"/>
    </row>
    <row r="436" spans="186:186" ht="15">
      <c r="GD436"/>
    </row>
    <row r="437" spans="186:186" ht="15">
      <c r="GD437"/>
    </row>
    <row r="438" spans="186:186" ht="15">
      <c r="GD438"/>
    </row>
    <row r="439" spans="186:186" ht="15">
      <c r="GD439"/>
    </row>
    <row r="440" spans="186:186" ht="15">
      <c r="GD440"/>
    </row>
    <row r="441" spans="186:186" ht="15">
      <c r="GD441"/>
    </row>
    <row r="442" spans="186:186" ht="15">
      <c r="GD442"/>
    </row>
    <row r="443" spans="186:186" ht="15">
      <c r="GD443"/>
    </row>
    <row r="444" spans="186:186" ht="15">
      <c r="GD444"/>
    </row>
    <row r="445" spans="186:186" ht="15">
      <c r="GD445"/>
    </row>
    <row r="446" spans="186:186" ht="15">
      <c r="GD446"/>
    </row>
    <row r="447" spans="186:186" ht="15">
      <c r="GD447"/>
    </row>
    <row r="448" spans="186:186" ht="15">
      <c r="GD448"/>
    </row>
    <row r="449" spans="186:186" ht="15">
      <c r="GD449"/>
    </row>
    <row r="450" spans="186:186" ht="15">
      <c r="GD450"/>
    </row>
    <row r="451" spans="186:186" ht="15">
      <c r="GD451"/>
    </row>
    <row r="452" spans="186:186" ht="15">
      <c r="GD452"/>
    </row>
    <row r="453" spans="186:186" ht="15">
      <c r="GD453"/>
    </row>
    <row r="454" spans="186:186" ht="15">
      <c r="GD454"/>
    </row>
    <row r="455" spans="186:186" ht="15">
      <c r="GD455"/>
    </row>
    <row r="456" spans="186:186" ht="15">
      <c r="GD456"/>
    </row>
    <row r="457" spans="186:186" ht="15">
      <c r="GD457"/>
    </row>
    <row r="458" spans="186:186" ht="15">
      <c r="GD458"/>
    </row>
    <row r="459" spans="186:186" ht="15">
      <c r="GD459"/>
    </row>
    <row r="460" spans="186:186" ht="15">
      <c r="GD460"/>
    </row>
    <row r="461" spans="186:186" ht="15">
      <c r="GD461"/>
    </row>
    <row r="462" spans="186:186" ht="15">
      <c r="GD462"/>
    </row>
    <row r="463" spans="186:186" ht="15">
      <c r="GD463"/>
    </row>
  </sheetData>
  <mergeCells count="23">
    <mergeCell ref="A14:C14"/>
    <mergeCell ref="B6:C6"/>
    <mergeCell ref="B7:C7"/>
    <mergeCell ref="B8:C8"/>
    <mergeCell ref="B9:C9"/>
    <mergeCell ref="B10:C10"/>
    <mergeCell ref="FU40:GA40"/>
    <mergeCell ref="FU41:GA41"/>
    <mergeCell ref="FR6:GB6"/>
    <mergeCell ref="FE7:FJ7"/>
    <mergeCell ref="FR7:FR38"/>
    <mergeCell ref="FS7:GB7"/>
    <mergeCell ref="FE8:FJ8"/>
    <mergeCell ref="FE10:FJ10"/>
    <mergeCell ref="FS22:GB22"/>
    <mergeCell ref="A4:H4"/>
    <mergeCell ref="A5:C5"/>
    <mergeCell ref="D5:H5"/>
    <mergeCell ref="A6:A13"/>
    <mergeCell ref="FR2:FR5"/>
    <mergeCell ref="B11:C11"/>
    <mergeCell ref="B12:C12"/>
    <mergeCell ref="B13:C13"/>
  </mergeCells>
  <conditionalFormatting sqref="FT2:FT4">
    <cfRule type="top10" dxfId="54" priority="49" rank="1"/>
  </conditionalFormatting>
  <conditionalFormatting sqref="FT9:FT20">
    <cfRule type="top10" dxfId="53" priority="31" rank="1"/>
  </conditionalFormatting>
  <conditionalFormatting sqref="FT2:FZ4 FT9:FZ20">
    <cfRule type="cellIs" dxfId="52" priority="21" operator="equal">
      <formula>0</formula>
    </cfRule>
  </conditionalFormatting>
  <conditionalFormatting sqref="FT2:GB4">
    <cfRule type="cellIs" dxfId="51" priority="7" operator="equal">
      <formula>0</formula>
    </cfRule>
  </conditionalFormatting>
  <conditionalFormatting sqref="FU2:FU4">
    <cfRule type="top10" dxfId="50" priority="52" rank="1"/>
    <cfRule type="top10" dxfId="49" priority="53" rank="1"/>
  </conditionalFormatting>
  <conditionalFormatting sqref="FU9:FU20">
    <cfRule type="top10" dxfId="48" priority="32" rank="1"/>
  </conditionalFormatting>
  <conditionalFormatting sqref="FV2:FV4">
    <cfRule type="top10" dxfId="47" priority="55" rank="1"/>
    <cfRule type="top10" dxfId="46" priority="54" rank="1"/>
  </conditionalFormatting>
  <conditionalFormatting sqref="FV9:FV20">
    <cfRule type="top10" dxfId="45" priority="33" rank="1"/>
  </conditionalFormatting>
  <conditionalFormatting sqref="FW2">
    <cfRule type="top10" dxfId="44" priority="20" rank="1"/>
  </conditionalFormatting>
  <conditionalFormatting sqref="FW2:FW4">
    <cfRule type="top10" dxfId="43" priority="57" rank="1"/>
    <cfRule type="top10" dxfId="42" priority="56" rank="1"/>
  </conditionalFormatting>
  <conditionalFormatting sqref="FW9:FW20">
    <cfRule type="top10" dxfId="41" priority="34" rank="1"/>
  </conditionalFormatting>
  <conditionalFormatting sqref="FX2:FX4">
    <cfRule type="top10" dxfId="40" priority="63" rank="1"/>
    <cfRule type="top10" dxfId="39" priority="62" rank="1"/>
  </conditionalFormatting>
  <conditionalFormatting sqref="FX9:FX20">
    <cfRule type="top10" dxfId="38" priority="35" rank="1"/>
  </conditionalFormatting>
  <conditionalFormatting sqref="FY2:FY4">
    <cfRule type="top10" dxfId="37" priority="65" rank="1"/>
    <cfRule type="top10" dxfId="36" priority="64" rank="1"/>
  </conditionalFormatting>
  <conditionalFormatting sqref="FY9:FY20">
    <cfRule type="top10" dxfId="35" priority="36" rank="1"/>
  </conditionalFormatting>
  <conditionalFormatting sqref="FZ2:FZ4">
    <cfRule type="top10" dxfId="34" priority="66" rank="1"/>
    <cfRule type="top10" dxfId="33" priority="67" rank="1"/>
  </conditionalFormatting>
  <conditionalFormatting sqref="FZ9:FZ20">
    <cfRule type="top10" dxfId="32" priority="37" rank="1"/>
  </conditionalFormatting>
  <conditionalFormatting sqref="GA2:GA4">
    <cfRule type="top10" dxfId="31" priority="68" rank="1"/>
    <cfRule type="cellIs" dxfId="30" priority="69" operator="equal">
      <formula>0</formula>
    </cfRule>
    <cfRule type="top10" dxfId="29" priority="70" rank="1"/>
  </conditionalFormatting>
  <conditionalFormatting sqref="GB2:GB4">
    <cfRule type="top10" dxfId="28" priority="71" rank="1"/>
    <cfRule type="cellIs" dxfId="27" priority="72" operator="equal">
      <formula>0</formula>
    </cfRule>
    <cfRule type="top10" dxfId="26" priority="73" rank="1"/>
  </conditionalFormatting>
  <conditionalFormatting sqref="GB9:GB20">
    <cfRule type="cellIs" dxfId="25" priority="39" operator="equal">
      <formula>0</formula>
    </cfRule>
    <cfRule type="cellIs" dxfId="24" priority="38" operator="equal">
      <formula>0</formula>
    </cfRule>
    <cfRule type="top10" dxfId="23" priority="40" rank="1"/>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6" id="{967E9D86-C176-4A3B-8871-C14E3B5E06CA}">
            <x14:iconSet iconSet="3Symbols2" showValue="0" custom="1">
              <x14:cfvo type="percent">
                <xm:f>0</xm:f>
              </x14:cfvo>
              <x14:cfvo type="num">
                <xm:f>0</xm:f>
              </x14:cfvo>
              <x14:cfvo type="num">
                <xm:f>1</xm:f>
              </x14:cfvo>
              <x14:cfIcon iconSet="NoIcons" iconId="0"/>
              <x14:cfIcon iconSet="3Symbols2" iconId="0"/>
              <x14:cfIcon iconSet="3Symbols2" iconId="2"/>
            </x14:iconSet>
          </x14:cfRule>
          <xm:sqref>FT28:FT36</xm:sqref>
        </x14:conditionalFormatting>
        <x14:conditionalFormatting xmlns:xm="http://schemas.microsoft.com/office/excel/2006/main">
          <x14:cfRule type="iconSet" priority="42" id="{B6835A1A-78FF-4CB9-9CC9-FE39173854FA}">
            <x14:iconSet iconSet="3Symbols2" showValue="0" custom="1">
              <x14:cfvo type="percent">
                <xm:f>0</xm:f>
              </x14:cfvo>
              <x14:cfvo type="num">
                <xm:f>0</xm:f>
              </x14:cfvo>
              <x14:cfvo type="num">
                <xm:f>1</xm:f>
              </x14:cfvo>
              <x14:cfIcon iconSet="NoIcons" iconId="0"/>
              <x14:cfIcon iconSet="3Symbols2" iconId="0"/>
              <x14:cfIcon iconSet="3Symbols2" iconId="2"/>
            </x14:iconSet>
          </x14:cfRule>
          <x14:cfRule type="iconSet" priority="43" id="{4CF05F86-73EE-4A9C-807C-24326BC088C8}">
            <x14:iconSet iconSet="3Symbols2" showValue="0" custom="1">
              <x14:cfvo type="percent">
                <xm:f>0</xm:f>
              </x14:cfvo>
              <x14:cfvo type="num">
                <xm:f>0</xm:f>
              </x14:cfvo>
              <x14:cfvo type="num">
                <xm:f>1</xm:f>
              </x14:cfvo>
              <x14:cfIcon iconSet="NoIcons" iconId="0"/>
              <x14:cfIcon iconSet="3Symbols2" iconId="0"/>
              <x14:cfIcon iconSet="3Symbols2" iconId="2"/>
            </x14:iconSet>
          </x14:cfRule>
          <xm:sqref>FT24:GB37</xm:sqref>
        </x14:conditionalFormatting>
        <x14:conditionalFormatting xmlns:xm="http://schemas.microsoft.com/office/excel/2006/main">
          <x14:cfRule type="iconSet" priority="44" id="{AFB920CF-F288-4B2C-802C-750142FA26D2}">
            <x14:iconSet iconSet="3Symbols2" showValue="0" custom="1">
              <x14:cfvo type="percent">
                <xm:f>0</xm:f>
              </x14:cfvo>
              <x14:cfvo type="num">
                <xm:f>0</xm:f>
              </x14:cfvo>
              <x14:cfvo type="num">
                <xm:f>1</xm:f>
              </x14:cfvo>
              <x14:cfIcon iconSet="NoIcons" iconId="0"/>
              <x14:cfIcon iconSet="3Symbols2" iconId="0"/>
              <x14:cfIcon iconSet="3Symbols2" iconId="2"/>
            </x14:iconSet>
          </x14:cfRule>
          <xm:sqref>FU24:FU37</xm:sqref>
        </x14:conditionalFormatting>
        <x14:conditionalFormatting xmlns:xm="http://schemas.microsoft.com/office/excel/2006/main">
          <x14:cfRule type="iconSet" priority="5" id="{E005EF65-3B55-4B24-8A88-058B8BB3B82F}">
            <x14:iconSet iconSet="3Symbols2" showValue="0" custom="1">
              <x14:cfvo type="percent">
                <xm:f>0</xm:f>
              </x14:cfvo>
              <x14:cfvo type="num">
                <xm:f>0</xm:f>
              </x14:cfvo>
              <x14:cfvo type="num">
                <xm:f>1</xm:f>
              </x14:cfvo>
              <x14:cfIcon iconSet="NoIcons" iconId="0"/>
              <x14:cfIcon iconSet="3Symbols2" iconId="0"/>
              <x14:cfIcon iconSet="3Symbols2" iconId="2"/>
            </x14:iconSet>
          </x14:cfRule>
          <xm:sqref>FU30:FU35</xm:sqref>
        </x14:conditionalFormatting>
        <x14:conditionalFormatting xmlns:xm="http://schemas.microsoft.com/office/excel/2006/main">
          <x14:cfRule type="iconSet" priority="41" id="{0A36EE8D-EA14-41CF-8259-D8F8FB5D6338}">
            <x14:iconSet iconSet="3Symbols2" showValue="0" custom="1">
              <x14:cfvo type="percent">
                <xm:f>0</xm:f>
              </x14:cfvo>
              <x14:cfvo type="num">
                <xm:f>0</xm:f>
              </x14:cfvo>
              <x14:cfvo type="num">
                <xm:f>1</xm:f>
              </x14:cfvo>
              <x14:cfIcon iconSet="NoIcons" iconId="0"/>
              <x14:cfIcon iconSet="3Symbols2" iconId="0"/>
              <x14:cfIcon iconSet="3Symbols2" iconId="2"/>
            </x14:iconSet>
          </x14:cfRule>
          <xm:sqref>FV27:FY30</xm:sqref>
        </x14:conditionalFormatting>
        <x14:conditionalFormatting xmlns:xm="http://schemas.microsoft.com/office/excel/2006/main">
          <x14:cfRule type="iconSet" priority="22" id="{BD7364FC-DAE9-4C6C-AAB9-A8404C0F5BBE}">
            <x14:iconSet iconSet="3Symbols2" showValue="0" custom="1">
              <x14:cfvo type="percent">
                <xm:f>0</xm:f>
              </x14:cfvo>
              <x14:cfvo type="num">
                <xm:f>0</xm:f>
              </x14:cfvo>
              <x14:cfvo type="num">
                <xm:f>1</xm:f>
              </x14:cfvo>
              <x14:cfIcon iconSet="NoIcons" iconId="0"/>
              <x14:cfIcon iconSet="3Symbols2" iconId="0"/>
              <x14:cfIcon iconSet="3Symbols2" iconId="2"/>
            </x14:iconSet>
          </x14:cfRule>
          <xm:sqref>FV31:FY32</xm:sqref>
        </x14:conditionalFormatting>
        <x14:conditionalFormatting xmlns:xm="http://schemas.microsoft.com/office/excel/2006/main">
          <x14:cfRule type="iconSet" priority="23" id="{0B1B28AC-0400-4172-8EDB-82CF8AA27BA1}">
            <x14:iconSet iconSet="3Symbols2" showValue="0" custom="1">
              <x14:cfvo type="percent">
                <xm:f>0</xm:f>
              </x14:cfvo>
              <x14:cfvo type="num">
                <xm:f>0</xm:f>
              </x14:cfvo>
              <x14:cfvo type="num">
                <xm:f>1</xm:f>
              </x14:cfvo>
              <x14:cfIcon iconSet="NoIcons" iconId="0"/>
              <x14:cfIcon iconSet="3Symbols2" iconId="0"/>
              <x14:cfIcon iconSet="3Symbols2" iconId="2"/>
            </x14:iconSet>
          </x14:cfRule>
          <xm:sqref>FW29:FW37 FX33:FY37 FY31:FY32 FV24:FV37 FW24:FY26</xm:sqref>
        </x14:conditionalFormatting>
        <x14:conditionalFormatting xmlns:xm="http://schemas.microsoft.com/office/excel/2006/main">
          <x14:cfRule type="iconSet" priority="2" id="{DCD98A47-C5E2-4016-980E-3DE763BEE34A}">
            <x14:iconSet iconSet="3Symbols2" showValue="0" custom="1">
              <x14:cfvo type="percent">
                <xm:f>0</xm:f>
              </x14:cfvo>
              <x14:cfvo type="num">
                <xm:f>0</xm:f>
              </x14:cfvo>
              <x14:cfvo type="num">
                <xm:f>1</xm:f>
              </x14:cfvo>
              <x14:cfIcon iconSet="NoIcons" iconId="0"/>
              <x14:cfIcon iconSet="3Symbols2" iconId="0"/>
              <x14:cfIcon iconSet="3Symbols2" iconId="2"/>
            </x14:iconSet>
          </x14:cfRule>
          <xm:sqref>FZ25</xm:sqref>
        </x14:conditionalFormatting>
        <x14:conditionalFormatting xmlns:xm="http://schemas.microsoft.com/office/excel/2006/main">
          <x14:cfRule type="iconSet" priority="4" id="{A99F8C33-1438-4E9B-8A55-07F0A96C37B2}">
            <x14:iconSet iconSet="3Symbols2" showValue="0" custom="1">
              <x14:cfvo type="percent">
                <xm:f>0</xm:f>
              </x14:cfvo>
              <x14:cfvo type="num">
                <xm:f>0</xm:f>
              </x14:cfvo>
              <x14:cfvo type="num">
                <xm:f>1</xm:f>
              </x14:cfvo>
              <x14:cfIcon iconSet="NoIcons" iconId="0"/>
              <x14:cfIcon iconSet="3Symbols2" iconId="0"/>
              <x14:cfIcon iconSet="3Symbols2" iconId="2"/>
            </x14:iconSet>
          </x14:cfRule>
          <xm:sqref>FZ32:FZ36</xm:sqref>
        </x14:conditionalFormatting>
        <x14:conditionalFormatting xmlns:xm="http://schemas.microsoft.com/office/excel/2006/main">
          <x14:cfRule type="iconSet" priority="45" id="{2D5D7324-B50F-43E9-8DBF-A05E3DBE4B1B}">
            <x14:iconSet iconSet="3Symbols2" showValue="0" custom="1">
              <x14:cfvo type="percent">
                <xm:f>0</xm:f>
              </x14:cfvo>
              <x14:cfvo type="num">
                <xm:f>0</xm:f>
              </x14:cfvo>
              <x14:cfvo type="num">
                <xm:f>1</xm:f>
              </x14:cfvo>
              <x14:cfIcon iconSet="NoIcons" iconId="0"/>
              <x14:cfIcon iconSet="3Symbols2" iconId="0"/>
              <x14:cfIcon iconSet="3Symbols2" iconId="2"/>
            </x14:iconSet>
          </x14:cfRule>
          <xm:sqref>FZ24:GA37</xm:sqref>
        </x14:conditionalFormatting>
        <x14:conditionalFormatting xmlns:xm="http://schemas.microsoft.com/office/excel/2006/main">
          <x14:cfRule type="iconSet" priority="3" id="{60FEBEA6-119A-4E53-AA87-2DF6C9FF85A0}">
            <x14:iconSet iconSet="3Symbols2" showValue="0" custom="1">
              <x14:cfvo type="percent">
                <xm:f>0</xm:f>
              </x14:cfvo>
              <x14:cfvo type="num">
                <xm:f>0</xm:f>
              </x14:cfvo>
              <x14:cfvo type="num">
                <xm:f>1</xm:f>
              </x14:cfvo>
              <x14:cfIcon iconSet="NoIcons" iconId="0"/>
              <x14:cfIcon iconSet="3Symbols2" iconId="0"/>
              <x14:cfIcon iconSet="3Symbols2" iconId="2"/>
            </x14:iconSet>
          </x14:cfRule>
          <xm:sqref>GA32:GA36</xm:sqref>
        </x14:conditionalFormatting>
        <x14:conditionalFormatting xmlns:xm="http://schemas.microsoft.com/office/excel/2006/main">
          <x14:cfRule type="iconSet" priority="48" id="{66EC4BE8-A2B5-409D-9D1B-5E6F445D92FE}">
            <x14:iconSet iconSet="3Symbols2" showValue="0" custom="1">
              <x14:cfvo type="percent">
                <xm:f>0</xm:f>
              </x14:cfvo>
              <x14:cfvo type="num">
                <xm:f>0</xm:f>
              </x14:cfvo>
              <x14:cfvo type="num">
                <xm:f>1</xm:f>
              </x14:cfvo>
              <x14:cfIcon iconSet="NoIcons" iconId="0"/>
              <x14:cfIcon iconSet="3Symbols2" iconId="0"/>
              <x14:cfIcon iconSet="3Symbols2" iconId="2"/>
            </x14:iconSet>
          </x14:cfRule>
          <x14:cfRule type="iconSet" priority="47" id="{E4620ED4-A85D-4E78-A201-0C7A240E8720}">
            <x14:iconSet iconSet="3Symbols2" showValue="0" custom="1">
              <x14:cfvo type="percent">
                <xm:f>0</xm:f>
              </x14:cfvo>
              <x14:cfvo type="num">
                <xm:f>0</xm:f>
              </x14:cfvo>
              <x14:cfvo type="num">
                <xm:f>1</xm:f>
              </x14:cfvo>
              <x14:cfIcon iconSet="NoIcons" iconId="0"/>
              <x14:cfIcon iconSet="3Symbols2" iconId="0"/>
              <x14:cfIcon iconSet="3Symbols2" iconId="2"/>
            </x14:iconSet>
          </x14:cfRule>
          <x14:cfRule type="iconSet" priority="46" id="{ECC56C8C-EAB2-4131-8D39-5918557F0936}">
            <x14:iconSet iconSet="3Symbols2" showValue="0" custom="1">
              <x14:cfvo type="percent">
                <xm:f>0</xm:f>
              </x14:cfvo>
              <x14:cfvo type="num">
                <xm:f>0</xm:f>
              </x14:cfvo>
              <x14:cfvo type="num">
                <xm:f>1</xm:f>
              </x14:cfvo>
              <x14:cfIcon iconSet="NoIcons" iconId="0"/>
              <x14:cfIcon iconSet="3Symbols2" iconId="0"/>
              <x14:cfIcon iconSet="3Symbols2" iconId="2"/>
            </x14:iconSet>
          </x14:cfRule>
          <xm:sqref>GB24:GB37</xm:sqref>
        </x14:conditionalFormatting>
        <x14:conditionalFormatting xmlns:xm="http://schemas.microsoft.com/office/excel/2006/main">
          <x14:cfRule type="iconSet" priority="1" id="{3ADD8915-F7E5-40E1-BC0B-A00A5A5B78A7}">
            <x14:iconSet iconSet="3Symbols2" showValue="0" custom="1">
              <x14:cfvo type="percent">
                <xm:f>0</xm:f>
              </x14:cfvo>
              <x14:cfvo type="num">
                <xm:f>0</xm:f>
              </x14:cfvo>
              <x14:cfvo type="num">
                <xm:f>1</xm:f>
              </x14:cfvo>
              <x14:cfIcon iconSet="NoIcons" iconId="0"/>
              <x14:cfIcon iconSet="3Symbols2" iconId="0"/>
              <x14:cfIcon iconSet="3Symbols2" iconId="2"/>
            </x14:iconSet>
          </x14:cfRule>
          <xm:sqref>GB25:GB31</xm:sqref>
        </x14:conditionalFormatting>
      </x14:conditionalFormatting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78D4-0B3B-45E2-865A-4B229B7680AA}">
  <sheetPr>
    <tabColor rgb="FF00B050"/>
  </sheetPr>
  <dimension ref="A1:AD54"/>
  <sheetViews>
    <sheetView topLeftCell="A3" zoomScaleNormal="100" workbookViewId="0">
      <selection activeCell="B25" sqref="B25"/>
    </sheetView>
  </sheetViews>
  <sheetFormatPr defaultRowHeight="15"/>
  <cols>
    <col min="1" max="1" width="45.42578125" customWidth="1"/>
    <col min="2" max="2" width="10.5703125" bestFit="1" customWidth="1"/>
    <col min="3" max="3" width="11.5703125" bestFit="1" customWidth="1"/>
    <col min="4" max="9" width="12" bestFit="1" customWidth="1"/>
    <col min="10" max="15" width="13" bestFit="1" customWidth="1"/>
    <col min="16" max="16" width="13.42578125" bestFit="1" customWidth="1"/>
    <col min="17" max="17" width="13" bestFit="1" customWidth="1"/>
    <col min="18" max="24" width="13.42578125" bestFit="1" customWidth="1"/>
  </cols>
  <sheetData>
    <row r="1" spans="1:30" ht="18.75">
      <c r="A1" s="471" t="s">
        <v>1082</v>
      </c>
      <c r="B1" s="472"/>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row>
    <row r="2" spans="1:30" ht="15.75">
      <c r="A2" s="118" t="s">
        <v>138</v>
      </c>
      <c r="B2" s="119" t="s">
        <v>13</v>
      </c>
      <c r="C2" s="120">
        <f>[10]Dashboard!$K$22</f>
        <v>45444</v>
      </c>
      <c r="D2" s="120">
        <f>C2+1</f>
        <v>45445</v>
      </c>
      <c r="E2" s="120">
        <f t="shared" ref="E2:AD2" si="0">D2+1</f>
        <v>45446</v>
      </c>
      <c r="F2" s="120">
        <f t="shared" si="0"/>
        <v>45447</v>
      </c>
      <c r="G2" s="120">
        <f t="shared" si="0"/>
        <v>45448</v>
      </c>
      <c r="H2" s="120">
        <f t="shared" si="0"/>
        <v>45449</v>
      </c>
      <c r="I2" s="120">
        <f t="shared" si="0"/>
        <v>45450</v>
      </c>
      <c r="J2" s="120">
        <f t="shared" si="0"/>
        <v>45451</v>
      </c>
      <c r="K2" s="120">
        <f t="shared" si="0"/>
        <v>45452</v>
      </c>
      <c r="L2" s="120">
        <f t="shared" si="0"/>
        <v>45453</v>
      </c>
      <c r="M2" s="120">
        <f t="shared" si="0"/>
        <v>45454</v>
      </c>
      <c r="N2" s="120">
        <f t="shared" si="0"/>
        <v>45455</v>
      </c>
      <c r="O2" s="120">
        <f t="shared" si="0"/>
        <v>45456</v>
      </c>
      <c r="P2" s="120">
        <f t="shared" si="0"/>
        <v>45457</v>
      </c>
      <c r="Q2" s="120">
        <f t="shared" si="0"/>
        <v>45458</v>
      </c>
      <c r="R2" s="120">
        <f t="shared" si="0"/>
        <v>45459</v>
      </c>
      <c r="S2" s="120">
        <f t="shared" si="0"/>
        <v>45460</v>
      </c>
      <c r="T2" s="120">
        <f t="shared" si="0"/>
        <v>45461</v>
      </c>
      <c r="U2" s="120">
        <f t="shared" si="0"/>
        <v>45462</v>
      </c>
      <c r="V2" s="120">
        <f t="shared" si="0"/>
        <v>45463</v>
      </c>
      <c r="W2" s="120">
        <f t="shared" si="0"/>
        <v>45464</v>
      </c>
      <c r="X2" s="120">
        <f t="shared" si="0"/>
        <v>45465</v>
      </c>
      <c r="Y2" s="120">
        <f t="shared" si="0"/>
        <v>45466</v>
      </c>
      <c r="Z2" s="120">
        <f t="shared" si="0"/>
        <v>45467</v>
      </c>
      <c r="AA2" s="120">
        <f t="shared" si="0"/>
        <v>45468</v>
      </c>
      <c r="AB2" s="120">
        <f t="shared" si="0"/>
        <v>45469</v>
      </c>
      <c r="AC2" s="120">
        <f t="shared" si="0"/>
        <v>45470</v>
      </c>
      <c r="AD2" s="120">
        <f t="shared" si="0"/>
        <v>45471</v>
      </c>
    </row>
    <row r="3" spans="1:30" ht="15.75">
      <c r="A3" s="16" t="s">
        <v>139</v>
      </c>
      <c r="B3" s="338">
        <f>SUM(C3:AG3)</f>
        <v>246</v>
      </c>
      <c r="C3" s="4">
        <f>'[10]AP - Activity Tracker'!C3</f>
        <v>0</v>
      </c>
      <c r="D3" s="4">
        <f>'[10]AP - Activity Tracker'!D3</f>
        <v>0</v>
      </c>
      <c r="E3" s="4">
        <f>'[10]AP - Activity Tracker'!E3</f>
        <v>11</v>
      </c>
      <c r="F3" s="4">
        <f>'[10]AP - Activity Tracker'!F3</f>
        <v>12</v>
      </c>
      <c r="G3" s="4">
        <f>'[10]AP - Activity Tracker'!G3</f>
        <v>9</v>
      </c>
      <c r="H3" s="4" t="str">
        <f>'[10]AP - Activity Tracker'!H3</f>
        <v>PTO</v>
      </c>
      <c r="I3" s="4" t="str">
        <f>'[10]AP - Activity Tracker'!I3</f>
        <v>PTO</v>
      </c>
      <c r="J3" s="4">
        <f>'[10]AP - Activity Tracker'!J3</f>
        <v>0</v>
      </c>
      <c r="K3" s="4">
        <f>'[10]AP - Activity Tracker'!K3</f>
        <v>0</v>
      </c>
      <c r="L3" s="4">
        <f>'[10]AP - Activity Tracker'!L3</f>
        <v>16</v>
      </c>
      <c r="M3" s="4">
        <f>'[10]AP - Activity Tracker'!M3</f>
        <v>11</v>
      </c>
      <c r="N3" s="4">
        <f>'[10]AP - Activity Tracker'!N3</f>
        <v>17</v>
      </c>
      <c r="O3" s="4">
        <f>'[10]AP - Activity Tracker'!O3</f>
        <v>8</v>
      </c>
      <c r="P3" s="4">
        <f>'[10]AP - Activity Tracker'!P3</f>
        <v>34</v>
      </c>
      <c r="Q3" s="4">
        <f>'[10]AP - Activity Tracker'!Q3</f>
        <v>0</v>
      </c>
      <c r="R3" s="4">
        <f>'[10]AP - Activity Tracker'!R3</f>
        <v>0</v>
      </c>
      <c r="S3" s="4">
        <f>'[10]AP - Activity Tracker'!S3</f>
        <v>18</v>
      </c>
      <c r="T3" s="4">
        <f>'[10]AP - Activity Tracker'!T3</f>
        <v>16</v>
      </c>
      <c r="U3" s="4">
        <f>'[10]AP - Activity Tracker'!U3</f>
        <v>15</v>
      </c>
      <c r="V3" s="4">
        <f>'[10]AP - Activity Tracker'!V3</f>
        <v>16</v>
      </c>
      <c r="W3" s="4">
        <f>'[10]AP - Activity Tracker'!W3</f>
        <v>16</v>
      </c>
      <c r="X3" s="4">
        <f>'[10]AP - Activity Tracker'!X3</f>
        <v>0</v>
      </c>
      <c r="Y3" s="4">
        <f>'[10]AP - Activity Tracker'!Y3</f>
        <v>0</v>
      </c>
      <c r="Z3" s="4">
        <f>'[10]AP - Activity Tracker'!Z3</f>
        <v>14</v>
      </c>
      <c r="AA3" s="4">
        <f>'[10]AP - Activity Tracker'!AA3</f>
        <v>10</v>
      </c>
      <c r="AB3" s="4">
        <f>'[10]AP - Activity Tracker'!AB3</f>
        <v>10</v>
      </c>
      <c r="AC3" s="4">
        <f>'[10]AP - Activity Tracker'!AC3</f>
        <v>3</v>
      </c>
      <c r="AD3" s="4">
        <f>'[10]AP - Activity Tracker'!AD3</f>
        <v>10</v>
      </c>
    </row>
    <row r="4" spans="1:30" ht="15.75">
      <c r="A4" s="16" t="s">
        <v>77</v>
      </c>
      <c r="B4" s="338">
        <f t="shared" ref="B4:B7" si="1">SUM(C4:AG4)</f>
        <v>0</v>
      </c>
      <c r="C4" s="4">
        <f>'[10]PR - Activity Tracker'!C3</f>
        <v>0</v>
      </c>
      <c r="D4" s="4">
        <f>'[10]PR - Activity Tracker'!D3</f>
        <v>0</v>
      </c>
      <c r="E4" s="4">
        <f>'[10]PR - Activity Tracker'!E3</f>
        <v>0</v>
      </c>
      <c r="F4" s="4">
        <f>'[10]PR - Activity Tracker'!F3</f>
        <v>0</v>
      </c>
      <c r="G4" s="4">
        <f>'[10]PR - Activity Tracker'!G3</f>
        <v>0</v>
      </c>
      <c r="H4" s="4">
        <f>'[10]PR - Activity Tracker'!H3</f>
        <v>0</v>
      </c>
      <c r="I4" s="4">
        <f>'[10]PR - Activity Tracker'!I3</f>
        <v>0</v>
      </c>
      <c r="J4" s="4">
        <f>'[10]PR - Activity Tracker'!J3</f>
        <v>0</v>
      </c>
      <c r="K4" s="4">
        <f>'[10]PR - Activity Tracker'!K3</f>
        <v>0</v>
      </c>
      <c r="L4" s="4">
        <f>'[10]PR - Activity Tracker'!L3</f>
        <v>0</v>
      </c>
      <c r="M4" s="4">
        <f>'[10]PR - Activity Tracker'!M3</f>
        <v>0</v>
      </c>
      <c r="N4" s="4">
        <f>'[10]PR - Activity Tracker'!N3</f>
        <v>0</v>
      </c>
      <c r="O4" s="4">
        <f>'[10]PR - Activity Tracker'!O3</f>
        <v>0</v>
      </c>
      <c r="P4" s="4">
        <f>'[10]PR - Activity Tracker'!P3</f>
        <v>0</v>
      </c>
      <c r="Q4" s="4">
        <f>'[10]PR - Activity Tracker'!Q3</f>
        <v>0</v>
      </c>
      <c r="R4" s="4">
        <f>'[10]PR - Activity Tracker'!R3</f>
        <v>0</v>
      </c>
      <c r="S4" s="4">
        <f>'[10]PR - Activity Tracker'!S3</f>
        <v>0</v>
      </c>
      <c r="T4" s="4">
        <f>'[10]PR - Activity Tracker'!T3</f>
        <v>0</v>
      </c>
      <c r="U4" s="4">
        <f>'[10]PR - Activity Tracker'!U3</f>
        <v>0</v>
      </c>
      <c r="V4" s="4">
        <f>'[10]PR - Activity Tracker'!V3</f>
        <v>0</v>
      </c>
      <c r="W4" s="4">
        <f>'[10]PR - Activity Tracker'!W3</f>
        <v>0</v>
      </c>
      <c r="X4" s="4">
        <f>'[10]PR - Activity Tracker'!X3</f>
        <v>0</v>
      </c>
      <c r="Y4" s="4">
        <f>'[10]PR - Activity Tracker'!Y3</f>
        <v>0</v>
      </c>
      <c r="Z4" s="4">
        <f>'[10]PR - Activity Tracker'!Z3</f>
        <v>0</v>
      </c>
      <c r="AA4" s="4">
        <f>'[10]PR - Activity Tracker'!AA3</f>
        <v>0</v>
      </c>
      <c r="AB4" s="4">
        <f>'[10]PR - Activity Tracker'!AB3</f>
        <v>0</v>
      </c>
      <c r="AC4" s="4" t="str">
        <f>'[10]PR - Activity Tracker'!AC3</f>
        <v>PTO</v>
      </c>
      <c r="AD4" s="4">
        <f>'[10]PR - Activity Tracker'!AD3</f>
        <v>0</v>
      </c>
    </row>
    <row r="5" spans="1:30" ht="15.75">
      <c r="A5" s="16" t="s">
        <v>140</v>
      </c>
      <c r="B5" s="338">
        <f t="shared" si="1"/>
        <v>420</v>
      </c>
      <c r="C5" s="4">
        <f>'[10]AP - Activity Tracker'!C4</f>
        <v>0</v>
      </c>
      <c r="D5" s="4">
        <f>'[10]AP - Activity Tracker'!D4</f>
        <v>0</v>
      </c>
      <c r="E5" s="4">
        <f>'[10]AP - Activity Tracker'!E4</f>
        <v>29</v>
      </c>
      <c r="F5" s="4">
        <f>'[10]AP - Activity Tracker'!F4</f>
        <v>18</v>
      </c>
      <c r="G5" s="4">
        <f>'[10]AP - Activity Tracker'!G4</f>
        <v>14</v>
      </c>
      <c r="H5" s="4">
        <f>'[10]AP - Activity Tracker'!H4</f>
        <v>23</v>
      </c>
      <c r="I5" s="4">
        <f>'[10]AP - Activity Tracker'!I4</f>
        <v>24</v>
      </c>
      <c r="J5" s="4">
        <f>'[10]AP - Activity Tracker'!J4</f>
        <v>0</v>
      </c>
      <c r="K5" s="4">
        <f>'[10]AP - Activity Tracker'!K4</f>
        <v>0</v>
      </c>
      <c r="L5" s="4">
        <f>'[10]AP - Activity Tracker'!L4</f>
        <v>29</v>
      </c>
      <c r="M5" s="4">
        <f>'[10]AP - Activity Tracker'!M4</f>
        <v>26</v>
      </c>
      <c r="N5" s="4">
        <f>'[10]AP - Activity Tracker'!N4</f>
        <v>41</v>
      </c>
      <c r="O5" s="4">
        <f>'[10]AP - Activity Tracker'!O4</f>
        <v>15</v>
      </c>
      <c r="P5" s="4" t="str">
        <f>'[10]AP - Activity Tracker'!P4</f>
        <v>PTO</v>
      </c>
      <c r="Q5" s="4">
        <f>'[10]AP - Activity Tracker'!Q4</f>
        <v>0</v>
      </c>
      <c r="R5" s="4">
        <f>'[10]AP - Activity Tracker'!R4</f>
        <v>0</v>
      </c>
      <c r="S5" s="4">
        <f>'[10]AP - Activity Tracker'!S4</f>
        <v>27</v>
      </c>
      <c r="T5" s="4">
        <f>'[10]AP - Activity Tracker'!T4</f>
        <v>19</v>
      </c>
      <c r="U5" s="4">
        <f>'[10]AP - Activity Tracker'!U4</f>
        <v>20</v>
      </c>
      <c r="V5" s="4">
        <f>'[10]AP - Activity Tracker'!V4</f>
        <v>13</v>
      </c>
      <c r="W5" s="4">
        <f>'[10]AP - Activity Tracker'!W4</f>
        <v>24</v>
      </c>
      <c r="X5" s="4">
        <f>'[10]AP - Activity Tracker'!X4</f>
        <v>0</v>
      </c>
      <c r="Y5" s="4">
        <f>'[10]AP - Activity Tracker'!Y4</f>
        <v>0</v>
      </c>
      <c r="Z5" s="4">
        <f>'[10]AP - Activity Tracker'!Z4</f>
        <v>28</v>
      </c>
      <c r="AA5" s="4">
        <f>'[10]AP - Activity Tracker'!AA4</f>
        <v>23</v>
      </c>
      <c r="AB5" s="4">
        <f>'[10]AP - Activity Tracker'!AB4</f>
        <v>15</v>
      </c>
      <c r="AC5" s="4">
        <f>'[10]AP - Activity Tracker'!AC4</f>
        <v>14</v>
      </c>
      <c r="AD5" s="4">
        <f>'[10]AP - Activity Tracker'!AD4</f>
        <v>18</v>
      </c>
    </row>
    <row r="6" spans="1:30" ht="15.75">
      <c r="A6" s="16" t="s">
        <v>76</v>
      </c>
      <c r="B6" s="338">
        <f>SUM(C6:AG6)</f>
        <v>105</v>
      </c>
      <c r="C6" s="4">
        <f>'[10]PR - Activity Tracker'!C4</f>
        <v>0</v>
      </c>
      <c r="D6" s="4">
        <f>'[10]PR - Activity Tracker'!D4</f>
        <v>0</v>
      </c>
      <c r="E6" s="4">
        <f>'[10]PR - Activity Tracker'!E4</f>
        <v>3</v>
      </c>
      <c r="F6" s="4" t="str">
        <f>'[10]PR - Activity Tracker'!F4</f>
        <v>PTO</v>
      </c>
      <c r="G6" s="4" t="str">
        <f>'[10]PR - Activity Tracker'!G4</f>
        <v>PTO</v>
      </c>
      <c r="H6" s="4">
        <f>'[10]PR - Activity Tracker'!H4</f>
        <v>9</v>
      </c>
      <c r="I6" s="4">
        <f>'[10]PR - Activity Tracker'!I4</f>
        <v>1</v>
      </c>
      <c r="J6" s="4">
        <f>'[10]PR - Activity Tracker'!J4</f>
        <v>0</v>
      </c>
      <c r="K6" s="4">
        <f>'[10]PR - Activity Tracker'!K4</f>
        <v>0</v>
      </c>
      <c r="L6" s="4">
        <f>'[10]PR - Activity Tracker'!L4</f>
        <v>7</v>
      </c>
      <c r="M6" s="4">
        <f>'[10]PR - Activity Tracker'!M4</f>
        <v>3</v>
      </c>
      <c r="N6" s="4">
        <f>'[10]PR - Activity Tracker'!N4</f>
        <v>13</v>
      </c>
      <c r="O6" s="4">
        <f>'[10]PR - Activity Tracker'!O4</f>
        <v>6</v>
      </c>
      <c r="P6" s="4">
        <f>'[10]PR - Activity Tracker'!P4</f>
        <v>9</v>
      </c>
      <c r="Q6" s="4">
        <f>'[10]PR - Activity Tracker'!Q4</f>
        <v>0</v>
      </c>
      <c r="R6" s="4">
        <f>'[10]PR - Activity Tracker'!R4</f>
        <v>0</v>
      </c>
      <c r="S6" s="4">
        <f>'[10]PR - Activity Tracker'!S4</f>
        <v>13</v>
      </c>
      <c r="T6" s="4">
        <f>'[10]PR - Activity Tracker'!T4</f>
        <v>9</v>
      </c>
      <c r="U6" s="4">
        <f>'[10]PR - Activity Tracker'!U4</f>
        <v>4</v>
      </c>
      <c r="V6" s="4">
        <f>'[10]PR - Activity Tracker'!V4</f>
        <v>2</v>
      </c>
      <c r="W6" s="4">
        <f>'[10]PR - Activity Tracker'!W4</f>
        <v>4</v>
      </c>
      <c r="X6" s="4">
        <f>'[10]PR - Activity Tracker'!X4</f>
        <v>0</v>
      </c>
      <c r="Y6" s="4">
        <f>'[10]PR - Activity Tracker'!Y4</f>
        <v>0</v>
      </c>
      <c r="Z6" s="4">
        <f>'[10]PR - Activity Tracker'!Z4</f>
        <v>9</v>
      </c>
      <c r="AA6" s="4" t="str">
        <f>'[10]PR - Activity Tracker'!AA4</f>
        <v>PTO</v>
      </c>
      <c r="AB6" s="4">
        <f>'[10]PR - Activity Tracker'!AB4</f>
        <v>2</v>
      </c>
      <c r="AC6" s="4">
        <f>'[10]PR - Activity Tracker'!AC4</f>
        <v>7</v>
      </c>
      <c r="AD6" s="4">
        <f>'[10]PR - Activity Tracker'!AD4</f>
        <v>4</v>
      </c>
    </row>
    <row r="7" spans="1:30" ht="15.75">
      <c r="A7" s="16" t="s">
        <v>176</v>
      </c>
      <c r="B7" s="338">
        <f t="shared" si="1"/>
        <v>45</v>
      </c>
      <c r="C7" s="4">
        <f>'[10]PR - Activity Tracker'!C5</f>
        <v>0</v>
      </c>
      <c r="D7" s="4">
        <f>'[10]PR - Activity Tracker'!D5</f>
        <v>0</v>
      </c>
      <c r="E7" s="4">
        <f>'[10]PR - Activity Tracker'!E5</f>
        <v>2</v>
      </c>
      <c r="F7" s="4">
        <f>'[10]PR - Activity Tracker'!F5</f>
        <v>3</v>
      </c>
      <c r="G7" s="4">
        <f>'[10]PR - Activity Tracker'!G5</f>
        <v>1</v>
      </c>
      <c r="H7" s="4">
        <f>'[10]PR - Activity Tracker'!H5</f>
        <v>1</v>
      </c>
      <c r="I7" s="4">
        <f>'[10]PR - Activity Tracker'!I5</f>
        <v>4</v>
      </c>
      <c r="J7" s="4">
        <f>'[10]PR - Activity Tracker'!J5</f>
        <v>0</v>
      </c>
      <c r="K7" s="4">
        <f>'[10]PR - Activity Tracker'!K5</f>
        <v>0</v>
      </c>
      <c r="L7" s="4" t="str">
        <f>'[10]PR - Activity Tracker'!L5</f>
        <v>PTO</v>
      </c>
      <c r="M7" s="4" t="str">
        <f>'[10]PR - Activity Tracker'!M5</f>
        <v>PTO</v>
      </c>
      <c r="N7" s="4" t="str">
        <f>'[10]PR - Activity Tracker'!N5</f>
        <v>PTO</v>
      </c>
      <c r="O7" s="4">
        <f>'[10]PR - Activity Tracker'!O5</f>
        <v>2</v>
      </c>
      <c r="P7" s="4">
        <f>'[10]PR - Activity Tracker'!P5</f>
        <v>1</v>
      </c>
      <c r="Q7" s="4">
        <f>'[10]PR - Activity Tracker'!Q5</f>
        <v>0</v>
      </c>
      <c r="R7" s="4">
        <f>'[10]PR - Activity Tracker'!R5</f>
        <v>0</v>
      </c>
      <c r="S7" s="4">
        <f>'[10]PR - Activity Tracker'!S5</f>
        <v>1</v>
      </c>
      <c r="T7" s="4">
        <f>'[10]PR - Activity Tracker'!T5</f>
        <v>3</v>
      </c>
      <c r="U7" s="4">
        <f>'[10]PR - Activity Tracker'!U5</f>
        <v>3</v>
      </c>
      <c r="V7" s="4">
        <f>'[10]PR - Activity Tracker'!V5</f>
        <v>1</v>
      </c>
      <c r="W7" s="4">
        <f>'[10]PR - Activity Tracker'!W5</f>
        <v>2</v>
      </c>
      <c r="X7" s="4">
        <f>'[10]PR - Activity Tracker'!X5</f>
        <v>0</v>
      </c>
      <c r="Y7" s="4">
        <f>'[10]PR - Activity Tracker'!Y5</f>
        <v>0</v>
      </c>
      <c r="Z7" s="4">
        <f>'[10]PR - Activity Tracker'!Z5</f>
        <v>6</v>
      </c>
      <c r="AA7" s="4">
        <f>'[10]PR - Activity Tracker'!AA5</f>
        <v>5</v>
      </c>
      <c r="AB7" s="4">
        <f>'[10]PR - Activity Tracker'!AB5</f>
        <v>5</v>
      </c>
      <c r="AC7" s="4">
        <f>'[10]PR - Activity Tracker'!AC5</f>
        <v>2</v>
      </c>
      <c r="AD7" s="4">
        <f>'[10]PR - Activity Tracker'!AD5</f>
        <v>3</v>
      </c>
    </row>
    <row r="8" spans="1:30" ht="15.75">
      <c r="A8" s="16" t="s">
        <v>141</v>
      </c>
      <c r="B8" s="337">
        <f>IFERROR(AVERAGE(C8:AG8),0)</f>
        <v>2.3003846153846155</v>
      </c>
      <c r="C8" s="4">
        <f>'[10]AP - Activity Tracker'!C5</f>
        <v>0</v>
      </c>
      <c r="D8" s="4">
        <f>'[10]AP - Activity Tracker'!D5</f>
        <v>0</v>
      </c>
      <c r="E8" s="4">
        <f>'[10]AP - Activity Tracker'!E5</f>
        <v>3.5</v>
      </c>
      <c r="F8" s="4">
        <f>'[10]AP - Activity Tracker'!F5</f>
        <v>2.5099999999999998</v>
      </c>
      <c r="G8" s="4">
        <f>'[10]AP - Activity Tracker'!G5</f>
        <v>3.9</v>
      </c>
      <c r="H8" s="4" t="str">
        <f>'[10]AP - Activity Tracker'!H5</f>
        <v>PTO</v>
      </c>
      <c r="I8" s="4" t="str">
        <f>'[10]AP - Activity Tracker'!I5</f>
        <v>PTO</v>
      </c>
      <c r="J8" s="4">
        <f>'[10]AP - Activity Tracker'!J5</f>
        <v>0</v>
      </c>
      <c r="K8" s="4">
        <f>'[10]AP - Activity Tracker'!K5</f>
        <v>0</v>
      </c>
      <c r="L8" s="4">
        <f>'[10]AP - Activity Tracker'!L5</f>
        <v>4.2</v>
      </c>
      <c r="M8" s="4">
        <f>'[10]AP - Activity Tracker'!M5</f>
        <v>3.1</v>
      </c>
      <c r="N8" s="4">
        <f>'[10]AP - Activity Tracker'!N5</f>
        <v>3.34</v>
      </c>
      <c r="O8" s="4">
        <f>'[10]AP - Activity Tracker'!O5</f>
        <v>3.27</v>
      </c>
      <c r="P8" s="4">
        <f>'[10]AP - Activity Tracker'!P5</f>
        <v>3.8</v>
      </c>
      <c r="Q8" s="4">
        <f>'[10]AP - Activity Tracker'!Q5</f>
        <v>0</v>
      </c>
      <c r="R8" s="4">
        <f>'[10]AP - Activity Tracker'!R5</f>
        <v>0</v>
      </c>
      <c r="S8" s="4">
        <f>'[10]AP - Activity Tracker'!S5</f>
        <v>2.56</v>
      </c>
      <c r="T8" s="4">
        <f>'[10]AP - Activity Tracker'!T5</f>
        <v>3.1</v>
      </c>
      <c r="U8" s="4">
        <f>'[10]AP - Activity Tracker'!U5</f>
        <v>3.29</v>
      </c>
      <c r="V8" s="4">
        <f>'[10]AP - Activity Tracker'!V5</f>
        <v>2.5299999999999998</v>
      </c>
      <c r="W8" s="4">
        <f>'[10]AP - Activity Tracker'!W5</f>
        <v>3.9</v>
      </c>
      <c r="X8" s="4">
        <f>'[10]AP - Activity Tracker'!X5</f>
        <v>0</v>
      </c>
      <c r="Y8" s="4">
        <f>'[10]AP - Activity Tracker'!Y5</f>
        <v>0</v>
      </c>
      <c r="Z8" s="4">
        <f>'[10]AP - Activity Tracker'!Z5</f>
        <v>2.31</v>
      </c>
      <c r="AA8" s="4">
        <f>'[10]AP - Activity Tracker'!AA5</f>
        <v>4</v>
      </c>
      <c r="AB8" s="4">
        <f>'[10]AP - Activity Tracker'!AB5</f>
        <v>3.36</v>
      </c>
      <c r="AC8" s="4">
        <f>'[10]AP - Activity Tracker'!AC5</f>
        <v>3.8</v>
      </c>
      <c r="AD8" s="4">
        <f>'[10]AP - Activity Tracker'!AD5</f>
        <v>3.34</v>
      </c>
    </row>
    <row r="9" spans="1:30" ht="15.75">
      <c r="A9" s="16" t="s">
        <v>79</v>
      </c>
      <c r="B9" s="337">
        <f t="shared" ref="B9:B12" si="2">IFERROR(AVERAGE(C9:AG9),0)</f>
        <v>0</v>
      </c>
      <c r="C9" s="4">
        <f>'[10]PR - Activity Tracker'!C6</f>
        <v>0</v>
      </c>
      <c r="D9" s="4">
        <f>'[10]PR - Activity Tracker'!D6</f>
        <v>0</v>
      </c>
      <c r="E9" s="4">
        <f>'[10]PR - Activity Tracker'!E6</f>
        <v>0</v>
      </c>
      <c r="F9" s="4">
        <f>'[10]PR - Activity Tracker'!F6</f>
        <v>0</v>
      </c>
      <c r="G9" s="4">
        <f>'[10]PR - Activity Tracker'!G6</f>
        <v>0</v>
      </c>
      <c r="H9" s="4">
        <f>'[10]PR - Activity Tracker'!H6</f>
        <v>0</v>
      </c>
      <c r="I9" s="4">
        <f>'[10]PR - Activity Tracker'!I6</f>
        <v>0</v>
      </c>
      <c r="J9" s="4">
        <f>'[10]PR - Activity Tracker'!J6</f>
        <v>0</v>
      </c>
      <c r="K9" s="4">
        <f>'[10]PR - Activity Tracker'!K6</f>
        <v>0</v>
      </c>
      <c r="L9" s="4">
        <f>'[10]PR - Activity Tracker'!L6</f>
        <v>0</v>
      </c>
      <c r="M9" s="4">
        <f>'[10]PR - Activity Tracker'!M6</f>
        <v>0</v>
      </c>
      <c r="N9" s="4">
        <f>'[10]PR - Activity Tracker'!N6</f>
        <v>0</v>
      </c>
      <c r="O9" s="4">
        <f>'[10]PR - Activity Tracker'!O6</f>
        <v>0</v>
      </c>
      <c r="P9" s="4">
        <f>'[10]PR - Activity Tracker'!P6</f>
        <v>0</v>
      </c>
      <c r="Q9" s="4">
        <f>'[10]PR - Activity Tracker'!Q6</f>
        <v>0</v>
      </c>
      <c r="R9" s="4">
        <f>'[10]PR - Activity Tracker'!R6</f>
        <v>0</v>
      </c>
      <c r="S9" s="4">
        <f>'[10]PR - Activity Tracker'!S6</f>
        <v>0</v>
      </c>
      <c r="T9" s="4">
        <f>'[10]PR - Activity Tracker'!T6</f>
        <v>0</v>
      </c>
      <c r="U9" s="4">
        <f>'[10]PR - Activity Tracker'!U6</f>
        <v>0</v>
      </c>
      <c r="V9" s="4">
        <f>'[10]PR - Activity Tracker'!V6</f>
        <v>0</v>
      </c>
      <c r="W9" s="4">
        <f>'[10]PR - Activity Tracker'!W6</f>
        <v>0</v>
      </c>
      <c r="X9" s="4">
        <f>'[10]PR - Activity Tracker'!X6</f>
        <v>0</v>
      </c>
      <c r="Y9" s="4">
        <f>'[10]PR - Activity Tracker'!Y6</f>
        <v>0</v>
      </c>
      <c r="Z9" s="4">
        <f>'[10]PR - Activity Tracker'!Z6</f>
        <v>0</v>
      </c>
      <c r="AA9" s="4">
        <f>'[10]PR - Activity Tracker'!AA6</f>
        <v>0</v>
      </c>
      <c r="AB9" s="4">
        <f>'[10]PR - Activity Tracker'!AB6</f>
        <v>0</v>
      </c>
      <c r="AC9" s="4" t="str">
        <f>'[10]PR - Activity Tracker'!AC6</f>
        <v>PTO</v>
      </c>
      <c r="AD9" s="4">
        <f>'[10]PR - Activity Tracker'!AD6</f>
        <v>0</v>
      </c>
    </row>
    <row r="10" spans="1:30" ht="15.75">
      <c r="A10" s="16" t="s">
        <v>142</v>
      </c>
      <c r="B10" s="337">
        <f t="shared" si="2"/>
        <v>1.7674074074074071</v>
      </c>
      <c r="C10" s="4">
        <f>'[10]AP - Activity Tracker'!C6</f>
        <v>0</v>
      </c>
      <c r="D10" s="4">
        <f>'[10]AP - Activity Tracker'!D6</f>
        <v>0</v>
      </c>
      <c r="E10" s="4">
        <f>'[10]AP - Activity Tracker'!E6</f>
        <v>2.4500000000000002</v>
      </c>
      <c r="F10" s="4">
        <f>'[10]AP - Activity Tracker'!F6</f>
        <v>3.5</v>
      </c>
      <c r="G10" s="4">
        <f>'[10]AP - Activity Tracker'!G6</f>
        <v>3.3</v>
      </c>
      <c r="H10" s="4">
        <f>'[10]AP - Activity Tracker'!H6</f>
        <v>2.44</v>
      </c>
      <c r="I10" s="4">
        <f>'[10]AP - Activity Tracker'!I6</f>
        <v>2.38</v>
      </c>
      <c r="J10" s="4">
        <f>'[10]AP - Activity Tracker'!J6</f>
        <v>0</v>
      </c>
      <c r="K10" s="4">
        <f>'[10]AP - Activity Tracker'!K6</f>
        <v>0</v>
      </c>
      <c r="L10" s="4">
        <f>'[10]AP - Activity Tracker'!L6</f>
        <v>2.34</v>
      </c>
      <c r="M10" s="4">
        <f>'[10]AP - Activity Tracker'!M6</f>
        <v>2.14</v>
      </c>
      <c r="N10" s="4">
        <f>'[10]AP - Activity Tracker'!N6</f>
        <v>2.42</v>
      </c>
      <c r="O10" s="4">
        <f>'[10]AP - Activity Tracker'!O6</f>
        <v>2.35</v>
      </c>
      <c r="P10" s="4" t="str">
        <f>'[10]AP - Activity Tracker'!P6</f>
        <v>PTO</v>
      </c>
      <c r="Q10" s="4">
        <f>'[10]AP - Activity Tracker'!Q6</f>
        <v>0</v>
      </c>
      <c r="R10" s="4">
        <f>'[10]AP - Activity Tracker'!R6</f>
        <v>0</v>
      </c>
      <c r="S10" s="4">
        <f>'[10]AP - Activity Tracker'!S6</f>
        <v>2.5099999999999998</v>
      </c>
      <c r="T10" s="4">
        <f>'[10]AP - Activity Tracker'!T6</f>
        <v>2.29</v>
      </c>
      <c r="U10" s="4">
        <f>'[10]AP - Activity Tracker'!U6</f>
        <v>2.54</v>
      </c>
      <c r="V10" s="4">
        <f>'[10]AP - Activity Tracker'!V6</f>
        <v>2.13</v>
      </c>
      <c r="W10" s="4">
        <f>'[10]AP - Activity Tracker'!W6</f>
        <v>2.4900000000000002</v>
      </c>
      <c r="X10" s="4">
        <f>'[10]AP - Activity Tracker'!X6</f>
        <v>0</v>
      </c>
      <c r="Y10" s="4">
        <f>'[10]AP - Activity Tracker'!Y6</f>
        <v>0</v>
      </c>
      <c r="Z10" s="4">
        <f>'[10]AP - Activity Tracker'!Z6</f>
        <v>2.33</v>
      </c>
      <c r="AA10" s="4">
        <f>'[10]AP - Activity Tracker'!AA6</f>
        <v>2.48</v>
      </c>
      <c r="AB10" s="4">
        <f>'[10]AP - Activity Tracker'!AB6</f>
        <v>2.23</v>
      </c>
      <c r="AC10" s="4">
        <f>'[10]AP - Activity Tracker'!AC6</f>
        <v>2.1</v>
      </c>
      <c r="AD10" s="4">
        <f>'[10]AP - Activity Tracker'!AD6</f>
        <v>3.3</v>
      </c>
    </row>
    <row r="11" spans="1:30" ht="15.75">
      <c r="A11" s="16" t="s">
        <v>78</v>
      </c>
      <c r="B11" s="337">
        <f t="shared" si="2"/>
        <v>1.8768</v>
      </c>
      <c r="C11" s="4">
        <f>'[10]PR - Activity Tracker'!C7</f>
        <v>0</v>
      </c>
      <c r="D11" s="4">
        <f>'[10]PR - Activity Tracker'!D7</f>
        <v>0</v>
      </c>
      <c r="E11" s="4">
        <f>'[10]PR - Activity Tracker'!E7</f>
        <v>2.23</v>
      </c>
      <c r="F11" s="4" t="str">
        <f>'[10]PR - Activity Tracker'!F7</f>
        <v>PTO</v>
      </c>
      <c r="G11" s="4" t="str">
        <f>'[10]PR - Activity Tracker'!G7</f>
        <v>PTO</v>
      </c>
      <c r="H11" s="4">
        <f>'[10]PR - Activity Tracker'!H7</f>
        <v>2.2599999999999998</v>
      </c>
      <c r="I11" s="4">
        <f>'[10]PR - Activity Tracker'!I7</f>
        <v>2.39</v>
      </c>
      <c r="J11" s="4">
        <f>'[10]PR - Activity Tracker'!J7</f>
        <v>0</v>
      </c>
      <c r="K11" s="4">
        <f>'[10]PR - Activity Tracker'!K7</f>
        <v>0</v>
      </c>
      <c r="L11" s="4">
        <f>'[10]PR - Activity Tracker'!L7</f>
        <v>2.3199999999999998</v>
      </c>
      <c r="M11" s="4">
        <f>'[10]PR - Activity Tracker'!M7</f>
        <v>2.44</v>
      </c>
      <c r="N11" s="4">
        <f>'[10]PR - Activity Tracker'!N7</f>
        <v>2.21</v>
      </c>
      <c r="O11" s="4">
        <f>'[10]PR - Activity Tracker'!O7</f>
        <v>2.39</v>
      </c>
      <c r="P11" s="4">
        <f>'[10]PR - Activity Tracker'!P7</f>
        <v>3</v>
      </c>
      <c r="Q11" s="4">
        <f>'[10]PR - Activity Tracker'!Q7</f>
        <v>0</v>
      </c>
      <c r="R11" s="4">
        <f>'[10]PR - Activity Tracker'!R7</f>
        <v>0</v>
      </c>
      <c r="S11" s="4">
        <f>'[10]PR - Activity Tracker'!S7</f>
        <v>2.13</v>
      </c>
      <c r="T11" s="4">
        <f>'[10]PR - Activity Tracker'!T7</f>
        <v>2.8</v>
      </c>
      <c r="U11" s="4">
        <f>'[10]PR - Activity Tracker'!U7</f>
        <v>2.1</v>
      </c>
      <c r="V11" s="4">
        <f>'[10]PR - Activity Tracker'!V7</f>
        <v>2.2999999999999998</v>
      </c>
      <c r="W11" s="4">
        <f>'[10]PR - Activity Tracker'!W7</f>
        <v>3</v>
      </c>
      <c r="X11" s="4">
        <f>'[10]PR - Activity Tracker'!X7</f>
        <v>0</v>
      </c>
      <c r="Y11" s="4">
        <f>'[10]PR - Activity Tracker'!Y7</f>
        <v>0</v>
      </c>
      <c r="Z11" s="4">
        <f>'[10]PR - Activity Tracker'!Z7</f>
        <v>2.2200000000000002</v>
      </c>
      <c r="AA11" s="4" t="str">
        <f>'[10]PR - Activity Tracker'!AA7</f>
        <v>PTO</v>
      </c>
      <c r="AB11" s="4">
        <f>'[10]PR - Activity Tracker'!AB7</f>
        <v>7.26</v>
      </c>
      <c r="AC11" s="4">
        <f>'[10]PR - Activity Tracker'!AC7</f>
        <v>2.37</v>
      </c>
      <c r="AD11" s="4">
        <f>'[10]PR - Activity Tracker'!AD7</f>
        <v>3.5</v>
      </c>
    </row>
    <row r="12" spans="1:30" ht="15.75">
      <c r="A12" s="16" t="s">
        <v>338</v>
      </c>
      <c r="B12" s="337">
        <f t="shared" si="2"/>
        <v>3.4352000000000005</v>
      </c>
      <c r="C12" s="4">
        <f>'[10]PR - Activity Tracker'!C8</f>
        <v>0</v>
      </c>
      <c r="D12" s="4">
        <f>'[10]PR - Activity Tracker'!D8</f>
        <v>0</v>
      </c>
      <c r="E12" s="4">
        <f>'[10]PR - Activity Tracker'!E8</f>
        <v>1.32</v>
      </c>
      <c r="F12" s="4">
        <f>'[10]PR - Activity Tracker'!F8</f>
        <v>3.41</v>
      </c>
      <c r="G12" s="4">
        <f>'[10]PR - Activity Tracker'!G8</f>
        <v>1.1100000000000001</v>
      </c>
      <c r="H12" s="4">
        <f>'[10]PR - Activity Tracker'!H8</f>
        <v>1.1000000000000001</v>
      </c>
      <c r="I12" s="4">
        <f>'[10]PR - Activity Tracker'!I8</f>
        <v>2.27</v>
      </c>
      <c r="J12" s="4">
        <f>'[10]PR - Activity Tracker'!J8</f>
        <v>0</v>
      </c>
      <c r="K12" s="4">
        <f>'[10]PR - Activity Tracker'!K8</f>
        <v>0</v>
      </c>
      <c r="L12" s="4" t="str">
        <f>'[10]PR - Activity Tracker'!L8</f>
        <v>PTO</v>
      </c>
      <c r="M12" s="4" t="str">
        <f>'[10]PR - Activity Tracker'!M8</f>
        <v>PTO</v>
      </c>
      <c r="N12" s="4" t="str">
        <f>'[10]PR - Activity Tracker'!N8</f>
        <v>PTO</v>
      </c>
      <c r="O12" s="4">
        <f>'[10]PR - Activity Tracker'!O8</f>
        <v>52.01</v>
      </c>
      <c r="P12" s="4">
        <f>'[10]PR - Activity Tracker'!P8</f>
        <v>1</v>
      </c>
      <c r="Q12" s="4">
        <f>'[10]PR - Activity Tracker'!Q8</f>
        <v>0</v>
      </c>
      <c r="R12" s="4">
        <f>'[10]PR - Activity Tracker'!R8</f>
        <v>0</v>
      </c>
      <c r="S12" s="4">
        <f>'[10]PR - Activity Tracker'!S8</f>
        <v>1</v>
      </c>
      <c r="T12" s="4">
        <f>'[10]PR - Activity Tracker'!T8</f>
        <v>1.26</v>
      </c>
      <c r="U12" s="4">
        <f>'[10]PR - Activity Tracker'!U8</f>
        <v>1.0900000000000001</v>
      </c>
      <c r="V12" s="4">
        <f>'[10]PR - Activity Tracker'!V8</f>
        <v>1.39</v>
      </c>
      <c r="W12" s="4">
        <f>'[10]PR - Activity Tracker'!W8</f>
        <v>4.59</v>
      </c>
      <c r="X12" s="4">
        <f>'[10]PR - Activity Tracker'!X8</f>
        <v>0</v>
      </c>
      <c r="Y12" s="4">
        <f>'[10]PR - Activity Tracker'!Y8</f>
        <v>0</v>
      </c>
      <c r="Z12" s="4">
        <f>'[10]PR - Activity Tracker'!Z8</f>
        <v>3.8</v>
      </c>
      <c r="AA12" s="4">
        <f>'[10]PR - Activity Tracker'!AA8</f>
        <v>4.7</v>
      </c>
      <c r="AB12" s="4">
        <f>'[10]PR - Activity Tracker'!AB8</f>
        <v>2.11</v>
      </c>
      <c r="AC12" s="4">
        <f>'[10]PR - Activity Tracker'!AC8</f>
        <v>1.55</v>
      </c>
      <c r="AD12" s="4">
        <f>'[10]PR - Activity Tracker'!AD8</f>
        <v>2.17</v>
      </c>
    </row>
    <row r="13" spans="1:30" ht="15.75">
      <c r="A13" s="118" t="s">
        <v>9</v>
      </c>
      <c r="B13" s="121">
        <f>SUM(B3:B7)</f>
        <v>816</v>
      </c>
      <c r="C13" s="122">
        <f t="shared" ref="C13:AD13" si="3">SUM(C3:C7)</f>
        <v>0</v>
      </c>
      <c r="D13" s="122">
        <f t="shared" si="3"/>
        <v>0</v>
      </c>
      <c r="E13" s="122">
        <f t="shared" si="3"/>
        <v>45</v>
      </c>
      <c r="F13" s="122">
        <f t="shared" si="3"/>
        <v>33</v>
      </c>
      <c r="G13" s="122">
        <f t="shared" si="3"/>
        <v>24</v>
      </c>
      <c r="H13" s="122">
        <f t="shared" si="3"/>
        <v>33</v>
      </c>
      <c r="I13" s="122">
        <f t="shared" si="3"/>
        <v>29</v>
      </c>
      <c r="J13" s="122">
        <f t="shared" si="3"/>
        <v>0</v>
      </c>
      <c r="K13" s="122">
        <f t="shared" si="3"/>
        <v>0</v>
      </c>
      <c r="L13" s="122">
        <f t="shared" si="3"/>
        <v>52</v>
      </c>
      <c r="M13" s="122">
        <f t="shared" si="3"/>
        <v>40</v>
      </c>
      <c r="N13" s="122">
        <f t="shared" si="3"/>
        <v>71</v>
      </c>
      <c r="O13" s="122">
        <f t="shared" si="3"/>
        <v>31</v>
      </c>
      <c r="P13" s="122">
        <f t="shared" si="3"/>
        <v>44</v>
      </c>
      <c r="Q13" s="122">
        <f t="shared" si="3"/>
        <v>0</v>
      </c>
      <c r="R13" s="122">
        <f t="shared" si="3"/>
        <v>0</v>
      </c>
      <c r="S13" s="122">
        <f t="shared" si="3"/>
        <v>59</v>
      </c>
      <c r="T13" s="122">
        <f t="shared" si="3"/>
        <v>47</v>
      </c>
      <c r="U13" s="122">
        <f t="shared" si="3"/>
        <v>42</v>
      </c>
      <c r="V13" s="122">
        <f t="shared" si="3"/>
        <v>32</v>
      </c>
      <c r="W13" s="122">
        <f t="shared" si="3"/>
        <v>46</v>
      </c>
      <c r="X13" s="122">
        <f t="shared" si="3"/>
        <v>0</v>
      </c>
      <c r="Y13" s="122">
        <f t="shared" si="3"/>
        <v>0</v>
      </c>
      <c r="Z13" s="122">
        <f t="shared" si="3"/>
        <v>57</v>
      </c>
      <c r="AA13" s="122">
        <f t="shared" si="3"/>
        <v>38</v>
      </c>
      <c r="AB13" s="122">
        <f t="shared" si="3"/>
        <v>32</v>
      </c>
      <c r="AC13" s="122">
        <f t="shared" si="3"/>
        <v>26</v>
      </c>
      <c r="AD13" s="122">
        <f t="shared" si="3"/>
        <v>35</v>
      </c>
    </row>
    <row r="14" spans="1:30" ht="15.75">
      <c r="A14" s="21"/>
      <c r="B14" s="21"/>
      <c r="C14" s="21"/>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row>
    <row r="15" spans="1:30" ht="18.75">
      <c r="A15" s="471" t="s">
        <v>1083</v>
      </c>
      <c r="B15" s="472"/>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row>
    <row r="16" spans="1:30" ht="15.75">
      <c r="A16" s="118" t="s">
        <v>148</v>
      </c>
      <c r="B16" s="119" t="s">
        <v>13</v>
      </c>
      <c r="C16" s="120">
        <f>[10]Dashboard!$K$22</f>
        <v>45444</v>
      </c>
      <c r="D16" s="120">
        <f>C16+1</f>
        <v>45445</v>
      </c>
      <c r="E16" s="120">
        <f t="shared" ref="E16:AD16" si="4">D16+1</f>
        <v>45446</v>
      </c>
      <c r="F16" s="120">
        <f t="shared" si="4"/>
        <v>45447</v>
      </c>
      <c r="G16" s="120">
        <f t="shared" si="4"/>
        <v>45448</v>
      </c>
      <c r="H16" s="120">
        <f t="shared" si="4"/>
        <v>45449</v>
      </c>
      <c r="I16" s="120">
        <f t="shared" si="4"/>
        <v>45450</v>
      </c>
      <c r="J16" s="120">
        <f t="shared" si="4"/>
        <v>45451</v>
      </c>
      <c r="K16" s="120">
        <f t="shared" si="4"/>
        <v>45452</v>
      </c>
      <c r="L16" s="120">
        <f t="shared" si="4"/>
        <v>45453</v>
      </c>
      <c r="M16" s="120">
        <f t="shared" si="4"/>
        <v>45454</v>
      </c>
      <c r="N16" s="120">
        <f t="shared" si="4"/>
        <v>45455</v>
      </c>
      <c r="O16" s="120">
        <f t="shared" si="4"/>
        <v>45456</v>
      </c>
      <c r="P16" s="120">
        <f t="shared" si="4"/>
        <v>45457</v>
      </c>
      <c r="Q16" s="120">
        <f t="shared" si="4"/>
        <v>45458</v>
      </c>
      <c r="R16" s="120">
        <f t="shared" si="4"/>
        <v>45459</v>
      </c>
      <c r="S16" s="120">
        <f t="shared" si="4"/>
        <v>45460</v>
      </c>
      <c r="T16" s="120">
        <f t="shared" si="4"/>
        <v>45461</v>
      </c>
      <c r="U16" s="120">
        <f t="shared" si="4"/>
        <v>45462</v>
      </c>
      <c r="V16" s="120">
        <f t="shared" si="4"/>
        <v>45463</v>
      </c>
      <c r="W16" s="120">
        <f t="shared" si="4"/>
        <v>45464</v>
      </c>
      <c r="X16" s="120">
        <f t="shared" si="4"/>
        <v>45465</v>
      </c>
      <c r="Y16" s="120">
        <f t="shared" si="4"/>
        <v>45466</v>
      </c>
      <c r="Z16" s="120">
        <f t="shared" si="4"/>
        <v>45467</v>
      </c>
      <c r="AA16" s="120">
        <f t="shared" si="4"/>
        <v>45468</v>
      </c>
      <c r="AB16" s="120">
        <f t="shared" si="4"/>
        <v>45469</v>
      </c>
      <c r="AC16" s="120">
        <f t="shared" si="4"/>
        <v>45470</v>
      </c>
      <c r="AD16" s="120">
        <f t="shared" si="4"/>
        <v>45471</v>
      </c>
    </row>
    <row r="17" spans="1:30" ht="15.75">
      <c r="A17" s="341" t="s">
        <v>149</v>
      </c>
      <c r="B17" s="123">
        <f>SUM(C17:AG17)</f>
        <v>0</v>
      </c>
      <c r="C17" s="22">
        <f>'[10]AP - Activity Tracker'!C11</f>
        <v>0</v>
      </c>
      <c r="D17" s="22">
        <f>'[10]AP - Activity Tracker'!D11</f>
        <v>0</v>
      </c>
      <c r="E17" s="22">
        <f>'[10]AP - Activity Tracker'!E11</f>
        <v>0</v>
      </c>
      <c r="F17" s="22">
        <f>'[10]AP - Activity Tracker'!F11</f>
        <v>0</v>
      </c>
      <c r="G17" s="22">
        <f>'[10]AP - Activity Tracker'!G11</f>
        <v>0</v>
      </c>
      <c r="H17" s="22">
        <f>'[10]AP - Activity Tracker'!H11</f>
        <v>0</v>
      </c>
      <c r="I17" s="22">
        <f>'[10]AP - Activity Tracker'!I11</f>
        <v>0</v>
      </c>
      <c r="J17" s="22">
        <f>'[10]AP - Activity Tracker'!J11</f>
        <v>0</v>
      </c>
      <c r="K17" s="22">
        <f>'[10]AP - Activity Tracker'!K11</f>
        <v>0</v>
      </c>
      <c r="L17" s="22">
        <f>'[10]AP - Activity Tracker'!L11</f>
        <v>0</v>
      </c>
      <c r="M17" s="22">
        <f>'[10]AP - Activity Tracker'!M11</f>
        <v>0</v>
      </c>
      <c r="N17" s="22">
        <f>'[10]AP - Activity Tracker'!N11</f>
        <v>0</v>
      </c>
      <c r="O17" s="22">
        <f>'[10]AP - Activity Tracker'!O11</f>
        <v>0</v>
      </c>
      <c r="P17" s="22">
        <f>'[10]AP - Activity Tracker'!P11</f>
        <v>0</v>
      </c>
      <c r="Q17" s="22">
        <f>'[10]AP - Activity Tracker'!Q11</f>
        <v>0</v>
      </c>
      <c r="R17" s="22">
        <f>'[10]AP - Activity Tracker'!R11</f>
        <v>0</v>
      </c>
      <c r="S17" s="22">
        <f>'[10]AP - Activity Tracker'!S11</f>
        <v>0</v>
      </c>
      <c r="T17" s="22">
        <f>'[10]AP - Activity Tracker'!T11</f>
        <v>0</v>
      </c>
      <c r="U17" s="22">
        <f>'[10]AP - Activity Tracker'!U11</f>
        <v>0</v>
      </c>
      <c r="V17" s="22">
        <f>'[10]AP - Activity Tracker'!V11</f>
        <v>0</v>
      </c>
      <c r="W17" s="22">
        <f>'[10]AP - Activity Tracker'!W11</f>
        <v>0</v>
      </c>
      <c r="X17" s="22">
        <f>'[10]AP - Activity Tracker'!X11</f>
        <v>0</v>
      </c>
      <c r="Y17" s="22">
        <f>'[10]AP - Activity Tracker'!Y11</f>
        <v>0</v>
      </c>
      <c r="Z17" s="22">
        <f>'[10]AP - Activity Tracker'!Z11</f>
        <v>0</v>
      </c>
      <c r="AA17" s="22">
        <f>'[10]AP - Activity Tracker'!AA11</f>
        <v>0</v>
      </c>
      <c r="AB17" s="22">
        <f>'[10]AP - Activity Tracker'!AB11</f>
        <v>0</v>
      </c>
      <c r="AC17" s="22">
        <f>'[10]AP - Activity Tracker'!AC11</f>
        <v>0</v>
      </c>
      <c r="AD17" s="22">
        <f>'[10]AP - Activity Tracker'!AD11</f>
        <v>0</v>
      </c>
    </row>
    <row r="18" spans="1:30" ht="15.75">
      <c r="A18" s="342" t="s">
        <v>150</v>
      </c>
      <c r="B18" s="343">
        <f>+C18</f>
        <v>0</v>
      </c>
      <c r="C18" s="125">
        <f>'[10]PR - Activity Tracker'!C14</f>
        <v>0</v>
      </c>
      <c r="D18" s="125">
        <f>'[10]PR - Activity Tracker'!D14</f>
        <v>0</v>
      </c>
      <c r="E18" s="125">
        <f>'[10]PR - Activity Tracker'!E14</f>
        <v>0</v>
      </c>
      <c r="F18" s="125">
        <f>'[10]PR - Activity Tracker'!F14</f>
        <v>2</v>
      </c>
      <c r="G18" s="125">
        <f>'[10]PR - Activity Tracker'!G14</f>
        <v>2</v>
      </c>
      <c r="H18" s="125">
        <f>'[10]PR - Activity Tracker'!H14</f>
        <v>1</v>
      </c>
      <c r="I18" s="125">
        <v>3</v>
      </c>
      <c r="J18" s="125">
        <f>'[10]PR - Activity Tracker'!J14</f>
        <v>0</v>
      </c>
      <c r="K18" s="125">
        <f>'[10]PR - Activity Tracker'!K14</f>
        <v>0</v>
      </c>
      <c r="L18" s="125">
        <f>'[10]PR - Activity Tracker'!L14</f>
        <v>4</v>
      </c>
      <c r="M18" s="125">
        <f>'[10]PR - Activity Tracker'!M14</f>
        <v>5</v>
      </c>
      <c r="N18" s="125">
        <f>'[10]PR - Activity Tracker'!N14</f>
        <v>3</v>
      </c>
      <c r="O18" s="125">
        <f>'[10]PR - Activity Tracker'!O14</f>
        <v>5</v>
      </c>
      <c r="P18" s="125">
        <f>'[10]PR - Activity Tracker'!P14</f>
        <v>2</v>
      </c>
      <c r="Q18" s="125">
        <f>'[10]PR - Activity Tracker'!Q14</f>
        <v>0</v>
      </c>
      <c r="R18" s="125">
        <f>'[10]PR - Activity Tracker'!R14</f>
        <v>0</v>
      </c>
      <c r="S18" s="125">
        <f>'[10]PR - Activity Tracker'!S14</f>
        <v>4</v>
      </c>
      <c r="T18" s="125">
        <f>'[10]PR - Activity Tracker'!T14</f>
        <v>5</v>
      </c>
      <c r="U18" s="125">
        <f>'[10]PR - Activity Tracker'!U14</f>
        <v>8</v>
      </c>
      <c r="V18" s="125">
        <f>'[10]PR - Activity Tracker'!V14</f>
        <v>3</v>
      </c>
      <c r="W18" s="125">
        <f>'[10]PR - Activity Tracker'!W14</f>
        <v>2</v>
      </c>
      <c r="X18" s="125">
        <f>'[10]PR - Activity Tracker'!X14</f>
        <v>0</v>
      </c>
      <c r="Y18" s="125">
        <f>'[10]PR - Activity Tracker'!Y14</f>
        <v>0</v>
      </c>
      <c r="Z18" s="125">
        <v>2</v>
      </c>
      <c r="AA18" s="125">
        <f>'[10]PR - Activity Tracker'!AA14</f>
        <v>1</v>
      </c>
      <c r="AB18" s="125">
        <f>'[10]PR - Activity Tracker'!AB14</f>
        <v>5</v>
      </c>
      <c r="AC18" s="125">
        <f>'[10]PR - Activity Tracker'!AC14</f>
        <v>2</v>
      </c>
      <c r="AD18" s="125">
        <f>'[10]PR - Activity Tracker'!AD14</f>
        <v>1</v>
      </c>
    </row>
    <row r="19" spans="1:30" ht="15.75">
      <c r="A19" s="217" t="s">
        <v>151</v>
      </c>
      <c r="B19" s="344">
        <f>SUM(C19:AG19)</f>
        <v>1032</v>
      </c>
      <c r="C19" s="125">
        <f>'[10]PR - Activity Tracker'!C15</f>
        <v>0</v>
      </c>
      <c r="D19" s="125">
        <f>'[10]PR - Activity Tracker'!D15</f>
        <v>0</v>
      </c>
      <c r="E19" s="125">
        <f>'[10]PR - Activity Tracker'!E15</f>
        <v>39</v>
      </c>
      <c r="F19" s="125">
        <f>'[10]PR - Activity Tracker'!F15</f>
        <v>43</v>
      </c>
      <c r="G19" s="125">
        <v>63</v>
      </c>
      <c r="H19" s="125">
        <f>'[10]PR - Activity Tracker'!H15</f>
        <v>75</v>
      </c>
      <c r="I19" s="125">
        <v>47</v>
      </c>
      <c r="J19" s="125">
        <f>'[10]PR - Activity Tracker'!J15</f>
        <v>0</v>
      </c>
      <c r="K19" s="125">
        <f>'[10]PR - Activity Tracker'!K15</f>
        <v>0</v>
      </c>
      <c r="L19" s="125">
        <f>'[10]PR - Activity Tracker'!L15</f>
        <v>47</v>
      </c>
      <c r="M19" s="125">
        <f>'[10]PR - Activity Tracker'!M15</f>
        <v>41</v>
      </c>
      <c r="N19" s="125">
        <f>'[10]PR - Activity Tracker'!N15</f>
        <v>44</v>
      </c>
      <c r="O19" s="125">
        <f>'[10]PR - Activity Tracker'!O15</f>
        <v>55</v>
      </c>
      <c r="P19" s="125">
        <f>'[10]PR - Activity Tracker'!P15</f>
        <v>53</v>
      </c>
      <c r="Q19" s="125">
        <f>'[10]PR - Activity Tracker'!Q15</f>
        <v>0</v>
      </c>
      <c r="R19" s="125">
        <f>'[10]PR - Activity Tracker'!R15</f>
        <v>0</v>
      </c>
      <c r="S19" s="125">
        <f>'[10]PR - Activity Tracker'!S15</f>
        <v>67</v>
      </c>
      <c r="T19" s="125">
        <f>'[10]PR - Activity Tracker'!T15</f>
        <v>56</v>
      </c>
      <c r="U19" s="125">
        <f>'[10]PR - Activity Tracker'!U15</f>
        <v>49</v>
      </c>
      <c r="V19" s="125">
        <f>'[10]PR - Activity Tracker'!V15</f>
        <v>47</v>
      </c>
      <c r="W19" s="125">
        <f>'[10]PR - Activity Tracker'!W15</f>
        <v>57</v>
      </c>
      <c r="X19" s="125">
        <f>'[10]PR - Activity Tracker'!X15</f>
        <v>0</v>
      </c>
      <c r="Y19" s="125">
        <f>'[10]PR - Activity Tracker'!Y15</f>
        <v>0</v>
      </c>
      <c r="Z19" s="125">
        <f>'[10]PR - Activity Tracker'!Z15</f>
        <v>77</v>
      </c>
      <c r="AA19" s="125">
        <f>'[10]PR - Activity Tracker'!AA15</f>
        <v>48</v>
      </c>
      <c r="AB19" s="125">
        <f>'[10]PR - Activity Tracker'!AB15</f>
        <v>43</v>
      </c>
      <c r="AC19" s="125">
        <f>'[10]PR - Activity Tracker'!AC15</f>
        <v>37</v>
      </c>
      <c r="AD19" s="125">
        <f>'[10]PR - Activity Tracker'!AD15</f>
        <v>44</v>
      </c>
    </row>
    <row r="20" spans="1:30" ht="15.75">
      <c r="A20" s="217" t="s">
        <v>152</v>
      </c>
      <c r="B20" s="344">
        <f>SUM(C20:AG20)</f>
        <v>1032</v>
      </c>
      <c r="C20" s="125">
        <f>'[10]PR - Activity Tracker'!C16</f>
        <v>0</v>
      </c>
      <c r="D20" s="125">
        <f>'[10]PR - Activity Tracker'!D16</f>
        <v>0</v>
      </c>
      <c r="E20" s="125">
        <f>'[10]PR - Activity Tracker'!E16</f>
        <v>37</v>
      </c>
      <c r="F20" s="125">
        <f>'[10]PR - Activity Tracker'!F16</f>
        <v>43</v>
      </c>
      <c r="G20" s="125">
        <f>'[10]PR - Activity Tracker'!G16</f>
        <v>63</v>
      </c>
      <c r="H20" s="125">
        <f>'[10]PR - Activity Tracker'!H16</f>
        <v>73</v>
      </c>
      <c r="I20" s="125">
        <f>'[10]PR - Activity Tracker'!I16</f>
        <v>46</v>
      </c>
      <c r="J20" s="125">
        <f>'[10]PR - Activity Tracker'!J16</f>
        <v>0</v>
      </c>
      <c r="K20" s="125">
        <f>'[10]PR - Activity Tracker'!K16</f>
        <v>0</v>
      </c>
      <c r="L20" s="125">
        <f>'[10]PR - Activity Tracker'!L16</f>
        <v>46</v>
      </c>
      <c r="M20" s="125">
        <f>'[10]PR - Activity Tracker'!M16</f>
        <v>43</v>
      </c>
      <c r="N20" s="125">
        <f>'[10]PR - Activity Tracker'!N16</f>
        <v>42</v>
      </c>
      <c r="O20" s="125">
        <f>'[10]PR - Activity Tracker'!O16</f>
        <v>58</v>
      </c>
      <c r="P20" s="125">
        <f>'[10]PR - Activity Tracker'!P16</f>
        <v>51</v>
      </c>
      <c r="Q20" s="125">
        <f>'[10]PR - Activity Tracker'!Q16</f>
        <v>0</v>
      </c>
      <c r="R20" s="125">
        <f>'[10]PR - Activity Tracker'!R16</f>
        <v>0</v>
      </c>
      <c r="S20" s="125">
        <f>'[10]PR - Activity Tracker'!S16</f>
        <v>66</v>
      </c>
      <c r="T20" s="125">
        <f>'[10]PR - Activity Tracker'!T16</f>
        <v>53</v>
      </c>
      <c r="U20" s="125">
        <f>'[10]PR - Activity Tracker'!U16</f>
        <v>54</v>
      </c>
      <c r="V20" s="125">
        <f>'[10]PR - Activity Tracker'!V16</f>
        <v>48</v>
      </c>
      <c r="W20" s="125">
        <f>'[10]PR - Activity Tracker'!W16</f>
        <v>57</v>
      </c>
      <c r="X20" s="125">
        <f>'[10]PR - Activity Tracker'!X16</f>
        <v>0</v>
      </c>
      <c r="Y20" s="125">
        <f>'[10]PR - Activity Tracker'!Y16</f>
        <v>0</v>
      </c>
      <c r="Z20" s="125">
        <f>'[10]PR - Activity Tracker'!Z16</f>
        <v>78</v>
      </c>
      <c r="AA20" s="125">
        <f>'[10]PR - Activity Tracker'!AA16</f>
        <v>44</v>
      </c>
      <c r="AB20" s="125">
        <f>'[10]PR - Activity Tracker'!AB16</f>
        <v>46</v>
      </c>
      <c r="AC20" s="125">
        <f>'[10]PR - Activity Tracker'!AC16</f>
        <v>39</v>
      </c>
      <c r="AD20" s="125">
        <f>'[10]PR - Activity Tracker'!AD16</f>
        <v>45</v>
      </c>
    </row>
    <row r="21" spans="1:30" ht="15.75">
      <c r="A21" s="217" t="s">
        <v>153</v>
      </c>
      <c r="B21" s="344">
        <f>SUM(C21:AG21)</f>
        <v>1091</v>
      </c>
      <c r="C21" s="125">
        <f>'[10]PR - Activity Tracker'!C17</f>
        <v>0</v>
      </c>
      <c r="D21" s="125">
        <f>'[10]PR - Activity Tracker'!D17</f>
        <v>0</v>
      </c>
      <c r="E21" s="125">
        <f>'[10]PR - Activity Tracker'!E17</f>
        <v>39</v>
      </c>
      <c r="F21" s="125">
        <f>'[10]PR - Activity Tracker'!F17</f>
        <v>45</v>
      </c>
      <c r="G21" s="125">
        <f>'[10]PR - Activity Tracker'!G17</f>
        <v>64</v>
      </c>
      <c r="H21" s="125">
        <f>'[10]PR - Activity Tracker'!H17</f>
        <v>76</v>
      </c>
      <c r="I21" s="125">
        <f>'[10]PR - Activity Tracker'!I17</f>
        <v>50</v>
      </c>
      <c r="J21" s="125">
        <f>'[10]PR - Activity Tracker'!J17</f>
        <v>0</v>
      </c>
      <c r="K21" s="125">
        <f>'[10]PR - Activity Tracker'!K17</f>
        <v>0</v>
      </c>
      <c r="L21" s="125">
        <f>'[10]PR - Activity Tracker'!L17</f>
        <v>51</v>
      </c>
      <c r="M21" s="125">
        <f>'[10]PR - Activity Tracker'!M17</f>
        <v>46</v>
      </c>
      <c r="N21" s="125">
        <f>'[10]PR - Activity Tracker'!N17</f>
        <v>47</v>
      </c>
      <c r="O21" s="125">
        <f>'[10]PR - Activity Tracker'!O17</f>
        <v>60</v>
      </c>
      <c r="P21" s="125">
        <f>'[10]PR - Activity Tracker'!P17</f>
        <v>55</v>
      </c>
      <c r="Q21" s="125">
        <f>'[10]PR - Activity Tracker'!Q17</f>
        <v>0</v>
      </c>
      <c r="R21" s="125">
        <f>'[10]PR - Activity Tracker'!R17</f>
        <v>0</v>
      </c>
      <c r="S21" s="125">
        <f>'[10]PR - Activity Tracker'!S17</f>
        <v>71</v>
      </c>
      <c r="T21" s="125">
        <f>'[10]PR - Activity Tracker'!T17</f>
        <v>61</v>
      </c>
      <c r="U21" s="125">
        <f>'[10]PR - Activity Tracker'!U17</f>
        <v>57</v>
      </c>
      <c r="V21" s="125">
        <f>'[10]PR - Activity Tracker'!V17</f>
        <v>50</v>
      </c>
      <c r="W21" s="125">
        <f>'[10]PR - Activity Tracker'!W17</f>
        <v>59</v>
      </c>
      <c r="X21" s="125">
        <f>'[10]PR - Activity Tracker'!X17</f>
        <v>0</v>
      </c>
      <c r="Y21" s="125">
        <f>'[10]PR - Activity Tracker'!Y17</f>
        <v>0</v>
      </c>
      <c r="Z21" s="125">
        <f>'[10]PR - Activity Tracker'!Z17</f>
        <v>79</v>
      </c>
      <c r="AA21" s="125">
        <f>'[10]PR - Activity Tracker'!AA17</f>
        <v>49</v>
      </c>
      <c r="AB21" s="125">
        <f>'[10]PR - Activity Tracker'!AB17</f>
        <v>48</v>
      </c>
      <c r="AC21" s="125">
        <f>'[10]PR - Activity Tracker'!AC17</f>
        <v>39</v>
      </c>
      <c r="AD21" s="125">
        <f>'[10]PR - Activity Tracker'!AD17</f>
        <v>45</v>
      </c>
    </row>
    <row r="22" spans="1:30" ht="15.75">
      <c r="A22" s="217" t="s">
        <v>154</v>
      </c>
      <c r="B22" s="124">
        <f>(B18+B19)-B20</f>
        <v>0</v>
      </c>
      <c r="C22" s="125">
        <f>'[10]PR - Activity Tracker'!C18</f>
        <v>0</v>
      </c>
      <c r="D22" s="125">
        <f>'[10]PR - Activity Tracker'!D18</f>
        <v>0</v>
      </c>
      <c r="E22" s="125">
        <f>'[10]PR - Activity Tracker'!E18</f>
        <v>2</v>
      </c>
      <c r="F22" s="125">
        <f>'[10]PR - Activity Tracker'!F18</f>
        <v>2</v>
      </c>
      <c r="G22" s="125">
        <f>'[10]PR - Activity Tracker'!G18</f>
        <v>1</v>
      </c>
      <c r="H22" s="125">
        <f>'[10]PR - Activity Tracker'!H18</f>
        <v>3</v>
      </c>
      <c r="I22" s="125">
        <f>'[10]PR - Activity Tracker'!I18</f>
        <v>4</v>
      </c>
      <c r="J22" s="125">
        <f>'[10]PR - Activity Tracker'!J18</f>
        <v>0</v>
      </c>
      <c r="K22" s="125">
        <f>'[10]PR - Activity Tracker'!K18</f>
        <v>0</v>
      </c>
      <c r="L22" s="125">
        <f>'[10]PR - Activity Tracker'!L18</f>
        <v>5</v>
      </c>
      <c r="M22" s="125">
        <f>'[10]PR - Activity Tracker'!M18</f>
        <v>3</v>
      </c>
      <c r="N22" s="125">
        <f>'[10]PR - Activity Tracker'!N18</f>
        <v>5</v>
      </c>
      <c r="O22" s="125">
        <f>'[10]PR - Activity Tracker'!O18</f>
        <v>2</v>
      </c>
      <c r="P22" s="125">
        <f>'[10]PR - Activity Tracker'!P18</f>
        <v>4</v>
      </c>
      <c r="Q22" s="125">
        <f>'[10]PR - Activity Tracker'!Q18</f>
        <v>0</v>
      </c>
      <c r="R22" s="125">
        <f>'[10]PR - Activity Tracker'!R18</f>
        <v>0</v>
      </c>
      <c r="S22" s="125">
        <f>'[10]PR - Activity Tracker'!S18</f>
        <v>5</v>
      </c>
      <c r="T22" s="125">
        <f>'[10]PR - Activity Tracker'!T18</f>
        <v>8</v>
      </c>
      <c r="U22" s="125">
        <f>'[10]PR - Activity Tracker'!U18</f>
        <v>3</v>
      </c>
      <c r="V22" s="125">
        <f>'[10]PR - Activity Tracker'!V18</f>
        <v>2</v>
      </c>
      <c r="W22" s="125">
        <f>'[10]PR - Activity Tracker'!W18</f>
        <v>2</v>
      </c>
      <c r="X22" s="125">
        <f>'[10]PR - Activity Tracker'!X18</f>
        <v>0</v>
      </c>
      <c r="Y22" s="125">
        <f>'[10]PR - Activity Tracker'!Y18</f>
        <v>0</v>
      </c>
      <c r="Z22" s="125">
        <f>'[10]PR - Activity Tracker'!Z18</f>
        <v>1</v>
      </c>
      <c r="AA22" s="125">
        <f>'[10]PR - Activity Tracker'!AA18</f>
        <v>5</v>
      </c>
      <c r="AB22" s="125">
        <f>'[10]PR - Activity Tracker'!AB18</f>
        <v>2</v>
      </c>
      <c r="AC22" s="125">
        <f>'[10]PR - Activity Tracker'!AC18</f>
        <v>0</v>
      </c>
      <c r="AD22" s="125">
        <f>'[10]PR - Activity Tracker'!AD18</f>
        <v>0</v>
      </c>
    </row>
    <row r="23" spans="1:30" ht="15.75">
      <c r="A23" s="118" t="s">
        <v>9</v>
      </c>
      <c r="B23" s="119">
        <f>B20+B17</f>
        <v>1032</v>
      </c>
      <c r="C23" s="122">
        <f>+C17+C20</f>
        <v>0</v>
      </c>
      <c r="D23" s="122">
        <f t="shared" ref="D23:AD23" si="5">+D17+D20</f>
        <v>0</v>
      </c>
      <c r="E23" s="122">
        <f t="shared" si="5"/>
        <v>37</v>
      </c>
      <c r="F23" s="122">
        <f t="shared" si="5"/>
        <v>43</v>
      </c>
      <c r="G23" s="122">
        <f>+G17+G20</f>
        <v>63</v>
      </c>
      <c r="H23" s="122">
        <f>+H17+H20</f>
        <v>73</v>
      </c>
      <c r="I23" s="122">
        <f t="shared" si="5"/>
        <v>46</v>
      </c>
      <c r="J23" s="122">
        <f>+J17+J20</f>
        <v>0</v>
      </c>
      <c r="K23" s="122">
        <f t="shared" si="5"/>
        <v>0</v>
      </c>
      <c r="L23" s="122">
        <f t="shared" si="5"/>
        <v>46</v>
      </c>
      <c r="M23" s="122">
        <f t="shared" si="5"/>
        <v>43</v>
      </c>
      <c r="N23" s="122">
        <f t="shared" si="5"/>
        <v>42</v>
      </c>
      <c r="O23" s="122">
        <f t="shared" si="5"/>
        <v>58</v>
      </c>
      <c r="P23" s="122">
        <f t="shared" si="5"/>
        <v>51</v>
      </c>
      <c r="Q23" s="122">
        <f>+Q17+Q20</f>
        <v>0</v>
      </c>
      <c r="R23" s="122">
        <f t="shared" si="5"/>
        <v>0</v>
      </c>
      <c r="S23" s="122">
        <f t="shared" si="5"/>
        <v>66</v>
      </c>
      <c r="T23" s="122">
        <f>+T17+T20</f>
        <v>53</v>
      </c>
      <c r="U23" s="122">
        <f t="shared" si="5"/>
        <v>54</v>
      </c>
      <c r="V23" s="122">
        <f t="shared" si="5"/>
        <v>48</v>
      </c>
      <c r="W23" s="122">
        <f t="shared" si="5"/>
        <v>57</v>
      </c>
      <c r="X23" s="122">
        <f t="shared" si="5"/>
        <v>0</v>
      </c>
      <c r="Y23" s="122">
        <f t="shared" si="5"/>
        <v>0</v>
      </c>
      <c r="Z23" s="122">
        <f t="shared" si="5"/>
        <v>78</v>
      </c>
      <c r="AA23" s="122">
        <f t="shared" si="5"/>
        <v>44</v>
      </c>
      <c r="AB23" s="122">
        <f t="shared" si="5"/>
        <v>46</v>
      </c>
      <c r="AC23" s="122">
        <f t="shared" si="5"/>
        <v>39</v>
      </c>
      <c r="AD23" s="122">
        <f t="shared" si="5"/>
        <v>45</v>
      </c>
    </row>
    <row r="24" spans="1:30">
      <c r="A24" s="345" t="s">
        <v>522</v>
      </c>
      <c r="B24" s="125">
        <f>SUM(C24:AG24)</f>
        <v>1012</v>
      </c>
      <c r="C24" s="70"/>
      <c r="D24" s="70"/>
      <c r="E24" s="70">
        <v>39</v>
      </c>
      <c r="F24" s="70">
        <v>42</v>
      </c>
      <c r="G24" s="70">
        <v>60</v>
      </c>
      <c r="H24" s="70">
        <v>70</v>
      </c>
      <c r="I24" s="70">
        <v>47</v>
      </c>
      <c r="J24" s="70"/>
      <c r="K24" s="70"/>
      <c r="L24" s="70">
        <v>49</v>
      </c>
      <c r="M24" s="70">
        <v>36</v>
      </c>
      <c r="N24" s="70">
        <v>43</v>
      </c>
      <c r="O24" s="70">
        <v>54</v>
      </c>
      <c r="P24" s="70">
        <v>53</v>
      </c>
      <c r="Q24" s="70"/>
      <c r="R24" s="70"/>
      <c r="S24" s="70">
        <v>71</v>
      </c>
      <c r="T24" s="70">
        <v>48</v>
      </c>
      <c r="U24" s="70">
        <v>55</v>
      </c>
      <c r="V24" s="70">
        <v>46</v>
      </c>
      <c r="W24" s="70">
        <v>55</v>
      </c>
      <c r="X24" s="70"/>
      <c r="Y24" s="70"/>
      <c r="Z24" s="70">
        <v>75</v>
      </c>
      <c r="AA24" s="70">
        <v>41</v>
      </c>
      <c r="AB24" s="70">
        <v>46</v>
      </c>
      <c r="AC24" s="70">
        <v>37</v>
      </c>
      <c r="AD24" s="70">
        <v>45</v>
      </c>
    </row>
    <row r="25" spans="1:30">
      <c r="A25" s="345" t="s">
        <v>826</v>
      </c>
      <c r="B25" s="125">
        <f t="shared" ref="B25" si="6">SUM(C25:AG25)</f>
        <v>20</v>
      </c>
      <c r="C25" s="70"/>
      <c r="D25" s="70"/>
      <c r="E25" s="70">
        <v>0</v>
      </c>
      <c r="F25" s="70">
        <v>1</v>
      </c>
      <c r="G25" s="70">
        <v>1</v>
      </c>
      <c r="H25" s="70">
        <v>1</v>
      </c>
      <c r="I25" s="70">
        <v>1</v>
      </c>
      <c r="J25" s="70"/>
      <c r="K25" s="70"/>
      <c r="L25" s="70">
        <v>1</v>
      </c>
      <c r="M25" s="70">
        <v>1</v>
      </c>
      <c r="N25" s="70">
        <v>1</v>
      </c>
      <c r="O25" s="70">
        <v>1</v>
      </c>
      <c r="P25" s="70">
        <v>0</v>
      </c>
      <c r="Q25" s="70"/>
      <c r="R25" s="70"/>
      <c r="S25" s="70">
        <v>0</v>
      </c>
      <c r="T25" s="70">
        <v>3</v>
      </c>
      <c r="U25" s="70">
        <v>1</v>
      </c>
      <c r="V25" s="70">
        <v>2</v>
      </c>
      <c r="W25" s="70">
        <v>1</v>
      </c>
      <c r="X25" s="70"/>
      <c r="Y25" s="70"/>
      <c r="Z25" s="70">
        <v>2</v>
      </c>
      <c r="AA25" s="70">
        <v>1</v>
      </c>
      <c r="AB25" s="70">
        <v>1</v>
      </c>
      <c r="AC25" s="70">
        <v>1</v>
      </c>
      <c r="AD25" s="70">
        <v>0</v>
      </c>
    </row>
    <row r="26" spans="1:30">
      <c r="A26" s="345" t="s">
        <v>523</v>
      </c>
      <c r="B26" s="125">
        <f>SUM(C26:AG26)</f>
        <v>5</v>
      </c>
      <c r="C26" s="70"/>
      <c r="D26" s="70"/>
      <c r="E26" s="70">
        <v>0</v>
      </c>
      <c r="F26" s="70">
        <v>0</v>
      </c>
      <c r="G26" s="70">
        <v>0</v>
      </c>
      <c r="H26" s="70">
        <v>1</v>
      </c>
      <c r="I26" s="70">
        <v>0</v>
      </c>
      <c r="J26" s="70"/>
      <c r="K26" s="70"/>
      <c r="L26" s="70">
        <v>1</v>
      </c>
      <c r="M26" s="70">
        <v>0</v>
      </c>
      <c r="N26" s="70">
        <v>0</v>
      </c>
      <c r="O26" s="70">
        <v>1</v>
      </c>
      <c r="P26" s="70">
        <v>0</v>
      </c>
      <c r="Q26" s="70"/>
      <c r="R26" s="70"/>
      <c r="S26" s="70">
        <v>0</v>
      </c>
      <c r="T26" s="70">
        <v>0</v>
      </c>
      <c r="U26" s="70">
        <v>0</v>
      </c>
      <c r="V26" s="70">
        <v>0</v>
      </c>
      <c r="W26" s="70">
        <v>1</v>
      </c>
      <c r="X26" s="70"/>
      <c r="Y26" s="70"/>
      <c r="Z26" s="70">
        <v>0</v>
      </c>
      <c r="AA26" s="70">
        <v>0</v>
      </c>
      <c r="AB26" s="70">
        <v>0</v>
      </c>
      <c r="AC26" s="70">
        <v>1</v>
      </c>
      <c r="AD26" s="70">
        <v>0</v>
      </c>
    </row>
    <row r="27" spans="1:30">
      <c r="A27" s="346" t="s">
        <v>524</v>
      </c>
      <c r="B27" s="347">
        <f>IFERROR((B20-B26)/B20,0)</f>
        <v>0.99515503875968991</v>
      </c>
      <c r="C27" s="348">
        <f>IFERROR((C20-C26)/C20,0)</f>
        <v>0</v>
      </c>
      <c r="D27" s="348">
        <f>IFERROR((D20-D26)/D20,0)</f>
        <v>0</v>
      </c>
      <c r="E27" s="348">
        <f t="shared" ref="E27:AD27" si="7">IFERROR((E20-E26)/E20,0)</f>
        <v>1</v>
      </c>
      <c r="F27" s="348">
        <f t="shared" si="7"/>
        <v>1</v>
      </c>
      <c r="G27" s="348">
        <f t="shared" si="7"/>
        <v>1</v>
      </c>
      <c r="H27" s="348">
        <f t="shared" si="7"/>
        <v>0.98630136986301364</v>
      </c>
      <c r="I27" s="348">
        <f t="shared" si="7"/>
        <v>1</v>
      </c>
      <c r="J27" s="348">
        <f t="shared" si="7"/>
        <v>0</v>
      </c>
      <c r="K27" s="348">
        <f t="shared" si="7"/>
        <v>0</v>
      </c>
      <c r="L27" s="348">
        <f t="shared" si="7"/>
        <v>0.97826086956521741</v>
      </c>
      <c r="M27" s="348">
        <f t="shared" si="7"/>
        <v>1</v>
      </c>
      <c r="N27" s="348">
        <f t="shared" si="7"/>
        <v>1</v>
      </c>
      <c r="O27" s="348">
        <f t="shared" si="7"/>
        <v>0.98275862068965514</v>
      </c>
      <c r="P27" s="348">
        <f>IFERROR((P20-P26)/P20,0)</f>
        <v>1</v>
      </c>
      <c r="Q27" s="348">
        <f>IFERROR((Q20-S26)/Q20,0)</f>
        <v>0</v>
      </c>
      <c r="R27" s="348">
        <f>IFERROR((R20-T26)/R20,0)</f>
        <v>0</v>
      </c>
      <c r="S27" s="348">
        <f>IFERROR((S20-#REF!)/S20,0)</f>
        <v>0</v>
      </c>
      <c r="T27" s="348">
        <f>IFERROR((T20-#REF!)/T20,0)</f>
        <v>0</v>
      </c>
      <c r="U27" s="348">
        <f t="shared" si="7"/>
        <v>1</v>
      </c>
      <c r="V27" s="348">
        <f t="shared" si="7"/>
        <v>1</v>
      </c>
      <c r="W27" s="348">
        <f t="shared" si="7"/>
        <v>0.98245614035087714</v>
      </c>
      <c r="X27" s="348">
        <f t="shared" si="7"/>
        <v>0</v>
      </c>
      <c r="Y27" s="348">
        <f t="shared" si="7"/>
        <v>0</v>
      </c>
      <c r="Z27" s="348">
        <f t="shared" si="7"/>
        <v>1</v>
      </c>
      <c r="AA27" s="348">
        <f t="shared" si="7"/>
        <v>1</v>
      </c>
      <c r="AB27" s="348">
        <v>0</v>
      </c>
      <c r="AC27" s="348">
        <f t="shared" si="7"/>
        <v>0.97435897435897434</v>
      </c>
      <c r="AD27" s="348">
        <f t="shared" si="7"/>
        <v>1</v>
      </c>
    </row>
    <row r="28" spans="1:30" ht="15.75">
      <c r="A28" s="21"/>
      <c r="B28" s="21"/>
      <c r="C28" s="21"/>
      <c r="D28" s="21"/>
      <c r="E28" s="21"/>
      <c r="F28" s="21"/>
      <c r="G28" s="21"/>
      <c r="H28" s="21"/>
      <c r="I28" s="21"/>
      <c r="J28" s="21"/>
      <c r="K28" s="21"/>
      <c r="L28" s="21"/>
      <c r="M28" s="21"/>
      <c r="N28" s="21"/>
      <c r="O28" s="21"/>
      <c r="P28" s="21"/>
      <c r="Q28" s="21"/>
      <c r="R28" s="21"/>
      <c r="S28" s="21"/>
      <c r="T28" s="21"/>
      <c r="U28" s="21"/>
      <c r="V28" s="21"/>
      <c r="W28" s="21"/>
      <c r="X28" s="21"/>
      <c r="Y28" s="21"/>
      <c r="Z28" s="21"/>
      <c r="AA28" s="21"/>
      <c r="AB28" s="21"/>
      <c r="AC28" s="21"/>
      <c r="AD28" s="21"/>
    </row>
    <row r="29" spans="1:30" ht="18.75">
      <c r="A29" s="471" t="s">
        <v>1084</v>
      </c>
      <c r="B29" s="472"/>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row>
    <row r="30" spans="1:30" ht="15.75">
      <c r="A30" s="118" t="s">
        <v>143</v>
      </c>
      <c r="B30" s="119" t="s">
        <v>13</v>
      </c>
      <c r="C30" s="120">
        <f>[10]Dashboard!$K$22</f>
        <v>45444</v>
      </c>
      <c r="D30" s="120">
        <f t="shared" ref="D30:AD30" si="8">C30+1</f>
        <v>45445</v>
      </c>
      <c r="E30" s="120">
        <f t="shared" si="8"/>
        <v>45446</v>
      </c>
      <c r="F30" s="120">
        <f t="shared" si="8"/>
        <v>45447</v>
      </c>
      <c r="G30" s="120">
        <f t="shared" si="8"/>
        <v>45448</v>
      </c>
      <c r="H30" s="120">
        <f t="shared" si="8"/>
        <v>45449</v>
      </c>
      <c r="I30" s="120">
        <f t="shared" si="8"/>
        <v>45450</v>
      </c>
      <c r="J30" s="120">
        <f t="shared" si="8"/>
        <v>45451</v>
      </c>
      <c r="K30" s="120">
        <f t="shared" si="8"/>
        <v>45452</v>
      </c>
      <c r="L30" s="120">
        <f t="shared" si="8"/>
        <v>45453</v>
      </c>
      <c r="M30" s="120">
        <f t="shared" si="8"/>
        <v>45454</v>
      </c>
      <c r="N30" s="120">
        <f t="shared" si="8"/>
        <v>45455</v>
      </c>
      <c r="O30" s="120">
        <f t="shared" si="8"/>
        <v>45456</v>
      </c>
      <c r="P30" s="120">
        <f t="shared" si="8"/>
        <v>45457</v>
      </c>
      <c r="Q30" s="120">
        <f t="shared" si="8"/>
        <v>45458</v>
      </c>
      <c r="R30" s="120">
        <f t="shared" si="8"/>
        <v>45459</v>
      </c>
      <c r="S30" s="120">
        <f t="shared" si="8"/>
        <v>45460</v>
      </c>
      <c r="T30" s="120">
        <f t="shared" si="8"/>
        <v>45461</v>
      </c>
      <c r="U30" s="120">
        <f t="shared" si="8"/>
        <v>45462</v>
      </c>
      <c r="V30" s="120">
        <f t="shared" si="8"/>
        <v>45463</v>
      </c>
      <c r="W30" s="120">
        <f t="shared" si="8"/>
        <v>45464</v>
      </c>
      <c r="X30" s="120">
        <f t="shared" si="8"/>
        <v>45465</v>
      </c>
      <c r="Y30" s="120">
        <f t="shared" si="8"/>
        <v>45466</v>
      </c>
      <c r="Z30" s="120">
        <f t="shared" si="8"/>
        <v>45467</v>
      </c>
      <c r="AA30" s="120">
        <f t="shared" si="8"/>
        <v>45468</v>
      </c>
      <c r="AB30" s="120">
        <f t="shared" si="8"/>
        <v>45469</v>
      </c>
      <c r="AC30" s="120">
        <f t="shared" si="8"/>
        <v>45470</v>
      </c>
      <c r="AD30" s="120">
        <f t="shared" si="8"/>
        <v>45471</v>
      </c>
    </row>
    <row r="31" spans="1:30" ht="15.75">
      <c r="A31" s="16" t="s">
        <v>144</v>
      </c>
      <c r="B31" s="123">
        <f t="shared" ref="B31:B39" si="9">SUM(C31:AG31)</f>
        <v>0</v>
      </c>
      <c r="C31" s="22">
        <f>'[10]PR - Activity Tracker'!C27</f>
        <v>0</v>
      </c>
      <c r="D31" s="22">
        <f>'[10]PR - Activity Tracker'!D27</f>
        <v>0</v>
      </c>
      <c r="E31" s="22">
        <f>'[10]PR - Activity Tracker'!E27</f>
        <v>0</v>
      </c>
      <c r="F31" s="22">
        <f>'[10]PR - Activity Tracker'!F27</f>
        <v>0</v>
      </c>
      <c r="G31" s="22">
        <f>'[10]PR - Activity Tracker'!G27</f>
        <v>0</v>
      </c>
      <c r="H31" s="22">
        <f>'[10]PR - Activity Tracker'!H27</f>
        <v>0</v>
      </c>
      <c r="I31" s="22">
        <f>'[10]PR - Activity Tracker'!I27</f>
        <v>0</v>
      </c>
      <c r="J31" s="22">
        <f>'[10]PR - Activity Tracker'!J27</f>
        <v>0</v>
      </c>
      <c r="K31" s="22">
        <f>'[10]PR - Activity Tracker'!K27</f>
        <v>0</v>
      </c>
      <c r="L31" s="349"/>
      <c r="M31" s="22">
        <f>'[10]PR - Activity Tracker'!M27</f>
        <v>0</v>
      </c>
      <c r="N31" s="22">
        <f>'[10]PR - Activity Tracker'!N27</f>
        <v>0</v>
      </c>
      <c r="O31" s="22">
        <f>'[10]PR - Activity Tracker'!O27</f>
        <v>0</v>
      </c>
      <c r="P31" s="22">
        <f>'[10]PR - Activity Tracker'!P27</f>
        <v>0</v>
      </c>
      <c r="Q31" s="22">
        <f>'[10]PR - Activity Tracker'!Q27</f>
        <v>0</v>
      </c>
      <c r="R31" s="22">
        <f>'[10]PR - Activity Tracker'!R27</f>
        <v>0</v>
      </c>
      <c r="S31" s="22">
        <f>'[10]PR - Activity Tracker'!S27</f>
        <v>0</v>
      </c>
      <c r="T31" s="22">
        <f>'[10]PR - Activity Tracker'!T27</f>
        <v>0</v>
      </c>
      <c r="U31" s="22">
        <f>'[10]PR - Activity Tracker'!U27</f>
        <v>0</v>
      </c>
      <c r="V31" s="22">
        <f>'[10]PR - Activity Tracker'!V27</f>
        <v>0</v>
      </c>
      <c r="W31" s="22">
        <f>'[10]PR - Activity Tracker'!W27</f>
        <v>0</v>
      </c>
      <c r="X31" s="22">
        <f>'[10]PR - Activity Tracker'!X27</f>
        <v>0</v>
      </c>
      <c r="Y31" s="22">
        <f>'[10]PR - Activity Tracker'!Y27</f>
        <v>0</v>
      </c>
      <c r="Z31" s="22">
        <f>'[10]PR - Activity Tracker'!Z27</f>
        <v>0</v>
      </c>
      <c r="AA31" s="22">
        <f>'[10]PR - Activity Tracker'!AA27</f>
        <v>0</v>
      </c>
      <c r="AB31" s="22">
        <f>'[10]PR - Activity Tracker'!AB27</f>
        <v>0</v>
      </c>
      <c r="AC31" s="22">
        <f>'[10]PR - Activity Tracker'!AC27</f>
        <v>0</v>
      </c>
      <c r="AD31" s="22">
        <f>'[10]PR - Activity Tracker'!AD27</f>
        <v>0</v>
      </c>
    </row>
    <row r="32" spans="1:30" ht="15.75">
      <c r="A32" s="16" t="s">
        <v>145</v>
      </c>
      <c r="B32" s="123">
        <f t="shared" si="9"/>
        <v>4</v>
      </c>
      <c r="C32" s="22">
        <v>0</v>
      </c>
      <c r="D32" s="22">
        <f>'[10]AP - Activity Tracker'!D22</f>
        <v>0</v>
      </c>
      <c r="E32" s="22">
        <f>'[10]AP - Activity Tracker'!E22</f>
        <v>1</v>
      </c>
      <c r="F32" s="22">
        <f>'[10]AP - Activity Tracker'!F22</f>
        <v>0</v>
      </c>
      <c r="G32" s="22">
        <f>'[10]AP - Activity Tracker'!G22</f>
        <v>0</v>
      </c>
      <c r="H32" s="22">
        <f>'[10]AP - Activity Tracker'!H22</f>
        <v>0</v>
      </c>
      <c r="I32" s="22">
        <f>'[10]AP - Activity Tracker'!I22</f>
        <v>0</v>
      </c>
      <c r="J32" s="22">
        <f>'[10]AP - Activity Tracker'!J22</f>
        <v>0</v>
      </c>
      <c r="K32" s="22">
        <f>'[10]AP - Activity Tracker'!K22</f>
        <v>0</v>
      </c>
      <c r="L32" s="22">
        <f>'[10]AP - Activity Tracker'!L22</f>
        <v>1</v>
      </c>
      <c r="M32" s="22">
        <f>'[10]AP - Activity Tracker'!M22</f>
        <v>0</v>
      </c>
      <c r="N32" s="22">
        <f>'[10]AP - Activity Tracker'!N22</f>
        <v>0</v>
      </c>
      <c r="O32" s="22">
        <f>'[10]AP - Activity Tracker'!O22</f>
        <v>0</v>
      </c>
      <c r="P32" s="22">
        <f>'[10]AP - Activity Tracker'!P22</f>
        <v>0</v>
      </c>
      <c r="Q32" s="22">
        <f>'[10]AP - Activity Tracker'!Q22</f>
        <v>0</v>
      </c>
      <c r="R32" s="22">
        <f>'[10]AP - Activity Tracker'!R22</f>
        <v>0</v>
      </c>
      <c r="S32" s="22">
        <f>'[10]AP - Activity Tracker'!S22</f>
        <v>1</v>
      </c>
      <c r="T32" s="22">
        <f>'[10]AP - Activity Tracker'!T22</f>
        <v>0</v>
      </c>
      <c r="U32" s="22">
        <f>'[10]AP - Activity Tracker'!U22</f>
        <v>0</v>
      </c>
      <c r="V32" s="22">
        <f>'[10]AP - Activity Tracker'!V22</f>
        <v>0</v>
      </c>
      <c r="W32" s="22">
        <f>'[10]AP - Activity Tracker'!W22</f>
        <v>0</v>
      </c>
      <c r="X32" s="22">
        <f>'[10]AP - Activity Tracker'!X22</f>
        <v>0</v>
      </c>
      <c r="Y32" s="22">
        <f>'[10]AP - Activity Tracker'!Y22</f>
        <v>0</v>
      </c>
      <c r="Z32" s="22">
        <f>'[10]AP - Activity Tracker'!Z22</f>
        <v>1</v>
      </c>
      <c r="AA32" s="22">
        <f>'[10]AP - Activity Tracker'!AA22</f>
        <v>0</v>
      </c>
      <c r="AB32" s="22">
        <f>'[10]AP - Activity Tracker'!AB22</f>
        <v>0</v>
      </c>
      <c r="AC32" s="22">
        <f>'[10]AP - Activity Tracker'!AC22</f>
        <v>0</v>
      </c>
      <c r="AD32" s="22">
        <f>'[10]AP - Activity Tracker'!AD22</f>
        <v>0</v>
      </c>
    </row>
    <row r="33" spans="1:30" ht="15.75">
      <c r="A33" s="16" t="s">
        <v>65</v>
      </c>
      <c r="B33" s="123">
        <f t="shared" si="9"/>
        <v>41</v>
      </c>
      <c r="C33" s="22">
        <f>'[10]AP - Activity Tracker'!C23</f>
        <v>0</v>
      </c>
      <c r="D33" s="22">
        <f>'[10]AP - Activity Tracker'!D23</f>
        <v>0</v>
      </c>
      <c r="E33" s="22">
        <f>'[10]AP - Activity Tracker'!E23</f>
        <v>4</v>
      </c>
      <c r="F33" s="22">
        <f>'[10]AP - Activity Tracker'!F23</f>
        <v>1</v>
      </c>
      <c r="G33" s="22">
        <f>'[10]AP - Activity Tracker'!G23</f>
        <v>0</v>
      </c>
      <c r="H33" s="22">
        <f>'[10]AP - Activity Tracker'!H23</f>
        <v>6</v>
      </c>
      <c r="I33" s="22">
        <f>'[10]AP - Activity Tracker'!I23</f>
        <v>4</v>
      </c>
      <c r="J33" s="22">
        <f>'[10]AP - Activity Tracker'!J23</f>
        <v>0</v>
      </c>
      <c r="K33" s="22">
        <f>'[10]AP - Activity Tracker'!K23</f>
        <v>0</v>
      </c>
      <c r="L33" s="22">
        <f>'[10]AP - Activity Tracker'!L23</f>
        <v>2</v>
      </c>
      <c r="M33" s="22">
        <f>'[10]AP - Activity Tracker'!M23</f>
        <v>1</v>
      </c>
      <c r="N33" s="22">
        <f>'[10]AP - Activity Tracker'!N23</f>
        <v>6</v>
      </c>
      <c r="O33" s="22">
        <f>'[10]AP - Activity Tracker'!O23</f>
        <v>1</v>
      </c>
      <c r="P33" s="22">
        <f>'[10]AP - Activity Tracker'!P23</f>
        <v>1</v>
      </c>
      <c r="Q33" s="22">
        <f>'[10]AP - Activity Tracker'!Q23</f>
        <v>0</v>
      </c>
      <c r="R33" s="22">
        <f>'[10]AP - Activity Tracker'!R23</f>
        <v>0</v>
      </c>
      <c r="S33" s="22">
        <f>'[10]AP - Activity Tracker'!S23</f>
        <v>5</v>
      </c>
      <c r="T33" s="22">
        <f>'[10]AP - Activity Tracker'!T23</f>
        <v>0</v>
      </c>
      <c r="U33" s="22">
        <f>'[10]AP - Activity Tracker'!U23</f>
        <v>0</v>
      </c>
      <c r="V33" s="22">
        <f>'[10]AP - Activity Tracker'!V23</f>
        <v>4</v>
      </c>
      <c r="W33" s="22">
        <f>'[10]AP - Activity Tracker'!W23</f>
        <v>0</v>
      </c>
      <c r="X33" s="22">
        <f>'[10]AP - Activity Tracker'!X23</f>
        <v>0</v>
      </c>
      <c r="Y33" s="22">
        <f>'[10]AP - Activity Tracker'!Y23</f>
        <v>0</v>
      </c>
      <c r="Z33" s="22">
        <f>'[10]AP - Activity Tracker'!Z23</f>
        <v>3</v>
      </c>
      <c r="AA33" s="22">
        <f>'[10]AP - Activity Tracker'!AA23</f>
        <v>1</v>
      </c>
      <c r="AB33" s="22">
        <f>'[10]AP - Activity Tracker'!AB23</f>
        <v>1</v>
      </c>
      <c r="AC33" s="22">
        <f>'[10]AP - Activity Tracker'!AC23</f>
        <v>0</v>
      </c>
      <c r="AD33" s="22">
        <f>'[10]AP - Activity Tracker'!AD23</f>
        <v>1</v>
      </c>
    </row>
    <row r="34" spans="1:30" ht="15.75">
      <c r="A34" s="16" t="s">
        <v>473</v>
      </c>
      <c r="B34" s="123">
        <f t="shared" si="9"/>
        <v>51</v>
      </c>
      <c r="C34" s="22">
        <f>'[10]AP - Activity Tracker'!C24</f>
        <v>0</v>
      </c>
      <c r="D34" s="22">
        <f>'[10]AP - Activity Tracker'!D24</f>
        <v>0</v>
      </c>
      <c r="E34" s="22">
        <f>'[10]AP - Activity Tracker'!E24</f>
        <v>4</v>
      </c>
      <c r="F34" s="22">
        <f>'[10]AP - Activity Tracker'!F24</f>
        <v>1</v>
      </c>
      <c r="G34" s="22">
        <f>'[10]AP - Activity Tracker'!G24</f>
        <v>0</v>
      </c>
      <c r="H34" s="22">
        <f>'[10]AP - Activity Tracker'!H24</f>
        <v>6</v>
      </c>
      <c r="I34" s="22">
        <f>'[10]AP - Activity Tracker'!I24</f>
        <v>4</v>
      </c>
      <c r="J34" s="22">
        <f>'[10]AP - Activity Tracker'!J24</f>
        <v>0</v>
      </c>
      <c r="K34" s="22">
        <f>'[10]AP - Activity Tracker'!K24</f>
        <v>0</v>
      </c>
      <c r="L34" s="22">
        <f>'[10]AP - Activity Tracker'!L24</f>
        <v>2</v>
      </c>
      <c r="M34" s="22">
        <f>'[10]AP - Activity Tracker'!M24</f>
        <v>7</v>
      </c>
      <c r="N34" s="22">
        <f>'[10]AP - Activity Tracker'!N24</f>
        <v>6</v>
      </c>
      <c r="O34" s="22">
        <f>'[10]AP - Activity Tracker'!O24</f>
        <v>1</v>
      </c>
      <c r="P34" s="22">
        <f>'[10]AP - Activity Tracker'!P24</f>
        <v>1</v>
      </c>
      <c r="Q34" s="22">
        <f>'[10]AP - Activity Tracker'!Q24</f>
        <v>0</v>
      </c>
      <c r="R34" s="22">
        <f>'[10]AP - Activity Tracker'!R24</f>
        <v>0</v>
      </c>
      <c r="S34" s="22">
        <f>'[10]AP - Activity Tracker'!S24</f>
        <v>5</v>
      </c>
      <c r="T34" s="22">
        <f>'[10]AP - Activity Tracker'!T24</f>
        <v>0</v>
      </c>
      <c r="U34" s="22">
        <f>'[10]AP - Activity Tracker'!U24</f>
        <v>2</v>
      </c>
      <c r="V34" s="22">
        <f>'[10]AP - Activity Tracker'!V24</f>
        <v>4</v>
      </c>
      <c r="W34" s="22">
        <f>'[10]AP - Activity Tracker'!W24</f>
        <v>0</v>
      </c>
      <c r="X34" s="22">
        <f>'[10]AP - Activity Tracker'!X24</f>
        <v>0</v>
      </c>
      <c r="Y34" s="22">
        <f>'[10]AP - Activity Tracker'!Y24</f>
        <v>0</v>
      </c>
      <c r="Z34" s="22">
        <f>'[10]AP - Activity Tracker'!Z24</f>
        <v>3</v>
      </c>
      <c r="AA34" s="22">
        <f>'[10]AP - Activity Tracker'!AA24</f>
        <v>1</v>
      </c>
      <c r="AB34" s="22">
        <f>'[10]AP - Activity Tracker'!AB24</f>
        <v>2</v>
      </c>
      <c r="AC34" s="22">
        <f>'[10]AP - Activity Tracker'!AC24</f>
        <v>1</v>
      </c>
      <c r="AD34" s="22">
        <f>'[10]AP - Activity Tracker'!AD24</f>
        <v>1</v>
      </c>
    </row>
    <row r="35" spans="1:30" ht="15.75">
      <c r="A35" s="16" t="s">
        <v>146</v>
      </c>
      <c r="B35" s="123">
        <f t="shared" si="9"/>
        <v>449</v>
      </c>
      <c r="C35" s="22">
        <f>'[10]AP - Activity Tracker'!C25</f>
        <v>0</v>
      </c>
      <c r="D35" s="22">
        <f>'[10]AP - Activity Tracker'!D25</f>
        <v>0</v>
      </c>
      <c r="E35" s="22">
        <f>'[10]AP - Activity Tracker'!E25</f>
        <v>10</v>
      </c>
      <c r="F35" s="22">
        <f>'[10]AP - Activity Tracker'!F25</f>
        <v>12</v>
      </c>
      <c r="G35" s="22">
        <f>'[10]AP - Activity Tracker'!G25</f>
        <v>26</v>
      </c>
      <c r="H35" s="22">
        <f>'[10]AP - Activity Tracker'!H25</f>
        <v>14</v>
      </c>
      <c r="I35" s="22">
        <f>'[10]AP - Activity Tracker'!I25</f>
        <v>10</v>
      </c>
      <c r="J35" s="22">
        <f>'[10]AP - Activity Tracker'!J25</f>
        <v>0</v>
      </c>
      <c r="K35" s="22">
        <f>'[10]AP - Activity Tracker'!K25</f>
        <v>0</v>
      </c>
      <c r="L35" s="22">
        <f>'[10]AP - Activity Tracker'!L25</f>
        <v>8</v>
      </c>
      <c r="M35" s="22">
        <f>'[10]AP - Activity Tracker'!M25</f>
        <v>32</v>
      </c>
      <c r="N35" s="22">
        <f>'[10]AP - Activity Tracker'!N25</f>
        <v>16</v>
      </c>
      <c r="O35" s="22">
        <f>'[10]AP - Activity Tracker'!O25</f>
        <v>30</v>
      </c>
      <c r="P35" s="22">
        <f>'[10]AP - Activity Tracker'!P25</f>
        <v>36</v>
      </c>
      <c r="Q35" s="22">
        <f>'[10]AP - Activity Tracker'!Q25</f>
        <v>0</v>
      </c>
      <c r="R35" s="22">
        <f>'[10]AP - Activity Tracker'!R25</f>
        <v>0</v>
      </c>
      <c r="S35" s="22">
        <f>'[10]AP - Activity Tracker'!S25</f>
        <v>32</v>
      </c>
      <c r="T35" s="22">
        <f>'[10]AP - Activity Tracker'!T25</f>
        <v>12</v>
      </c>
      <c r="U35" s="22">
        <f>'[10]AP - Activity Tracker'!U25</f>
        <v>0</v>
      </c>
      <c r="V35" s="22">
        <f>'[10]AP - Activity Tracker'!V25</f>
        <v>54</v>
      </c>
      <c r="W35" s="22">
        <f>'[10]AP - Activity Tracker'!W25</f>
        <v>20</v>
      </c>
      <c r="X35" s="22">
        <f>'[10]AP - Activity Tracker'!X25</f>
        <v>0</v>
      </c>
      <c r="Y35" s="22">
        <f>'[10]AP - Activity Tracker'!Y25</f>
        <v>0</v>
      </c>
      <c r="Z35" s="22">
        <f>'[10]AP - Activity Tracker'!Z25</f>
        <v>18</v>
      </c>
      <c r="AA35" s="22">
        <f>'[10]AP - Activity Tracker'!AA25</f>
        <v>18</v>
      </c>
      <c r="AB35" s="22">
        <f>'[10]AP - Activity Tracker'!AB25</f>
        <v>48</v>
      </c>
      <c r="AC35" s="22">
        <f>'[10]AP - Activity Tracker'!AC25</f>
        <v>35</v>
      </c>
      <c r="AD35" s="22">
        <f>'[10]AP - Activity Tracker'!AD25</f>
        <v>18</v>
      </c>
    </row>
    <row r="36" spans="1:30" ht="15.75">
      <c r="A36" s="16" t="s">
        <v>66</v>
      </c>
      <c r="B36" s="123">
        <f t="shared" si="9"/>
        <v>224</v>
      </c>
      <c r="C36" s="22">
        <f>'[10]AP - Activity Tracker'!C26</f>
        <v>0</v>
      </c>
      <c r="D36" s="22">
        <f>'[10]AP - Activity Tracker'!D26</f>
        <v>0</v>
      </c>
      <c r="E36" s="22">
        <f>'[10]AP - Activity Tracker'!E26</f>
        <v>5</v>
      </c>
      <c r="F36" s="22">
        <f>'[10]AP - Activity Tracker'!F26</f>
        <v>6</v>
      </c>
      <c r="G36" s="22">
        <f>'[10]AP - Activity Tracker'!G26</f>
        <v>13</v>
      </c>
      <c r="H36" s="22">
        <f>'[10]AP - Activity Tracker'!H26</f>
        <v>7</v>
      </c>
      <c r="I36" s="22">
        <f>'[10]AP - Activity Tracker'!I26</f>
        <v>5</v>
      </c>
      <c r="J36" s="22">
        <f>'[10]AP - Activity Tracker'!J26</f>
        <v>0</v>
      </c>
      <c r="K36" s="22">
        <f>'[10]AP - Activity Tracker'!K26</f>
        <v>0</v>
      </c>
      <c r="L36" s="22">
        <f>'[10]AP - Activity Tracker'!L26</f>
        <v>4</v>
      </c>
      <c r="M36" s="22">
        <f>'[10]AP - Activity Tracker'!M26</f>
        <v>16</v>
      </c>
      <c r="N36" s="22">
        <f>'[10]AP - Activity Tracker'!N26</f>
        <v>8</v>
      </c>
      <c r="O36" s="22">
        <f>'[10]AP - Activity Tracker'!O26</f>
        <v>15</v>
      </c>
      <c r="P36" s="22">
        <f>'[10]AP - Activity Tracker'!P26</f>
        <v>18</v>
      </c>
      <c r="Q36" s="22">
        <f>'[10]AP - Activity Tracker'!Q26</f>
        <v>0</v>
      </c>
      <c r="R36" s="22">
        <f>'[10]AP - Activity Tracker'!R26</f>
        <v>0</v>
      </c>
      <c r="S36" s="22">
        <f>'[10]AP - Activity Tracker'!S26</f>
        <v>16</v>
      </c>
      <c r="T36" s="22">
        <f>'[10]AP - Activity Tracker'!T26</f>
        <v>6</v>
      </c>
      <c r="U36" s="22">
        <f>'[10]AP - Activity Tracker'!U26</f>
        <v>0</v>
      </c>
      <c r="V36" s="22">
        <f>'[10]AP - Activity Tracker'!V26</f>
        <v>27</v>
      </c>
      <c r="W36" s="22">
        <f>'[10]AP - Activity Tracker'!W26</f>
        <v>10</v>
      </c>
      <c r="X36" s="22">
        <f>'[10]AP - Activity Tracker'!X26</f>
        <v>0</v>
      </c>
      <c r="Y36" s="22">
        <f>'[10]AP - Activity Tracker'!Y26</f>
        <v>0</v>
      </c>
      <c r="Z36" s="22">
        <f>'[10]AP - Activity Tracker'!Z26</f>
        <v>9</v>
      </c>
      <c r="AA36" s="22">
        <f>'[10]AP - Activity Tracker'!AA26</f>
        <v>9</v>
      </c>
      <c r="AB36" s="22">
        <f>'[10]AP - Activity Tracker'!AB26</f>
        <v>24</v>
      </c>
      <c r="AC36" s="22">
        <f>'[10]AP - Activity Tracker'!AC26</f>
        <v>17</v>
      </c>
      <c r="AD36" s="22">
        <f>'[10]AP - Activity Tracker'!AD26</f>
        <v>9</v>
      </c>
    </row>
    <row r="37" spans="1:30" ht="15.75">
      <c r="A37" s="16" t="s">
        <v>147</v>
      </c>
      <c r="B37" s="123">
        <f t="shared" si="9"/>
        <v>1499</v>
      </c>
      <c r="C37" s="22">
        <f>'[10]AP - Activity Tracker'!C27</f>
        <v>0</v>
      </c>
      <c r="D37" s="22">
        <f>'[10]AP - Activity Tracker'!D27</f>
        <v>0</v>
      </c>
      <c r="E37" s="22">
        <f>'[10]AP - Activity Tracker'!E27</f>
        <v>89</v>
      </c>
      <c r="F37" s="22">
        <f>'[10]AP - Activity Tracker'!F27</f>
        <v>32</v>
      </c>
      <c r="G37" s="22">
        <f>'[10]AP - Activity Tracker'!G27</f>
        <v>143</v>
      </c>
      <c r="H37" s="22">
        <f>'[10]AP - Activity Tracker'!H27</f>
        <v>14</v>
      </c>
      <c r="I37" s="22">
        <f>'[10]AP - Activity Tracker'!I27</f>
        <v>39</v>
      </c>
      <c r="J37" s="22">
        <f>'[10]AP - Activity Tracker'!J27</f>
        <v>0</v>
      </c>
      <c r="K37" s="22">
        <f>'[10]AP - Activity Tracker'!K27</f>
        <v>0</v>
      </c>
      <c r="L37" s="22">
        <f>'[10]AP - Activity Tracker'!L27</f>
        <v>0</v>
      </c>
      <c r="M37" s="22">
        <f>'[10]AP - Activity Tracker'!M27</f>
        <v>127</v>
      </c>
      <c r="N37" s="22">
        <f>'[10]AP - Activity Tracker'!N27</f>
        <v>75</v>
      </c>
      <c r="O37" s="22">
        <f>'[10]AP - Activity Tracker'!O27</f>
        <v>0</v>
      </c>
      <c r="P37" s="22">
        <f>'[10]AP - Activity Tracker'!P27</f>
        <v>0</v>
      </c>
      <c r="Q37" s="22">
        <f>'[10]AP - Activity Tracker'!Q27</f>
        <v>0</v>
      </c>
      <c r="R37" s="22">
        <f>'[10]AP - Activity Tracker'!R27</f>
        <v>0</v>
      </c>
      <c r="S37" s="22">
        <f>'[10]AP - Activity Tracker'!S27</f>
        <v>227</v>
      </c>
      <c r="T37" s="22">
        <f>'[10]AP - Activity Tracker'!T27</f>
        <v>79</v>
      </c>
      <c r="U37" s="22">
        <f>'[10]AP - Activity Tracker'!U27</f>
        <v>0</v>
      </c>
      <c r="V37" s="22">
        <f>'[10]AP - Activity Tracker'!V27</f>
        <v>127</v>
      </c>
      <c r="W37" s="22">
        <f>'[10]AP - Activity Tracker'!W27</f>
        <v>42</v>
      </c>
      <c r="X37" s="22">
        <f>'[10]AP - Activity Tracker'!X27</f>
        <v>0</v>
      </c>
      <c r="Y37" s="22">
        <f>'[10]AP - Activity Tracker'!Y27</f>
        <v>0</v>
      </c>
      <c r="Z37" s="22">
        <f>'[10]AP - Activity Tracker'!Z27</f>
        <v>154</v>
      </c>
      <c r="AA37" s="22">
        <f>'[10]AP - Activity Tracker'!AA27</f>
        <v>102</v>
      </c>
      <c r="AB37" s="22">
        <f>'[10]AP - Activity Tracker'!AB27</f>
        <v>51</v>
      </c>
      <c r="AC37" s="22">
        <f>'[10]AP - Activity Tracker'!AC27</f>
        <v>142</v>
      </c>
      <c r="AD37" s="22">
        <f>'[10]AP - Activity Tracker'!AD27</f>
        <v>56</v>
      </c>
    </row>
    <row r="38" spans="1:30" ht="15.75">
      <c r="A38" s="16" t="s">
        <v>67</v>
      </c>
      <c r="B38" s="123">
        <f t="shared" si="9"/>
        <v>178</v>
      </c>
      <c r="C38" s="22">
        <f>'[10]AP - Activity Tracker'!C28</f>
        <v>0</v>
      </c>
      <c r="D38" s="22">
        <f>'[10]AP - Activity Tracker'!D28</f>
        <v>0</v>
      </c>
      <c r="E38" s="22">
        <f>'[10]AP - Activity Tracker'!E28</f>
        <v>4</v>
      </c>
      <c r="F38" s="22">
        <f>'[10]AP - Activity Tracker'!F28</f>
        <v>3</v>
      </c>
      <c r="G38" s="22">
        <f>'[10]AP - Activity Tracker'!G28</f>
        <v>7</v>
      </c>
      <c r="H38" s="22">
        <f>'[10]AP - Activity Tracker'!H28</f>
        <v>3</v>
      </c>
      <c r="I38" s="22">
        <f>'[10]AP - Activity Tracker'!I28</f>
        <v>4</v>
      </c>
      <c r="J38" s="22">
        <f>'[10]AP - Activity Tracker'!J28</f>
        <v>0</v>
      </c>
      <c r="K38" s="22">
        <f>'[10]AP - Activity Tracker'!K28</f>
        <v>0</v>
      </c>
      <c r="L38" s="22">
        <f>'[10]AP - Activity Tracker'!L28</f>
        <v>1</v>
      </c>
      <c r="M38" s="22">
        <f>'[10]AP - Activity Tracker'!M28</f>
        <v>12</v>
      </c>
      <c r="N38" s="22">
        <f>'[10]AP - Activity Tracker'!N28</f>
        <v>6</v>
      </c>
      <c r="O38" s="22">
        <f>'[10]AP - Activity Tracker'!O28</f>
        <v>19</v>
      </c>
      <c r="P38" s="22">
        <f>'[10]AP - Activity Tracker'!P28</f>
        <v>11</v>
      </c>
      <c r="Q38" s="22">
        <f>'[10]AP - Activity Tracker'!Q28</f>
        <v>0</v>
      </c>
      <c r="R38" s="22">
        <f>'[10]AP - Activity Tracker'!R28</f>
        <v>0</v>
      </c>
      <c r="S38" s="22">
        <f>'[10]AP - Activity Tracker'!S28</f>
        <v>12</v>
      </c>
      <c r="T38" s="22">
        <f>'[10]AP - Activity Tracker'!T28</f>
        <v>7</v>
      </c>
      <c r="U38" s="22">
        <f>'[10]AP - Activity Tracker'!U28</f>
        <v>1</v>
      </c>
      <c r="V38" s="22">
        <f>'[10]AP - Activity Tracker'!V28</f>
        <v>19</v>
      </c>
      <c r="W38" s="22">
        <f>'[10]AP - Activity Tracker'!W28</f>
        <v>4</v>
      </c>
      <c r="X38" s="22">
        <f>'[10]AP - Activity Tracker'!X28</f>
        <v>0</v>
      </c>
      <c r="Y38" s="22">
        <f>'[10]AP - Activity Tracker'!Y28</f>
        <v>0</v>
      </c>
      <c r="Z38" s="22">
        <f>'[10]AP - Activity Tracker'!Z28</f>
        <v>13</v>
      </c>
      <c r="AA38" s="22">
        <f>'[10]AP - Activity Tracker'!AA28</f>
        <v>11</v>
      </c>
      <c r="AB38" s="22">
        <f>'[10]AP - Activity Tracker'!AB28</f>
        <v>18</v>
      </c>
      <c r="AC38" s="22">
        <f>'[10]AP - Activity Tracker'!AC28</f>
        <v>18</v>
      </c>
      <c r="AD38" s="22">
        <f>'[10]AP - Activity Tracker'!AD28</f>
        <v>5</v>
      </c>
    </row>
    <row r="39" spans="1:30" ht="15.75">
      <c r="A39" s="16" t="s">
        <v>68</v>
      </c>
      <c r="B39" s="123">
        <f t="shared" si="9"/>
        <v>156</v>
      </c>
      <c r="C39" s="22">
        <f>'[10]AP - Activity Tracker'!C29</f>
        <v>0</v>
      </c>
      <c r="D39" s="22">
        <f>'[10]AP - Activity Tracker'!D29</f>
        <v>0</v>
      </c>
      <c r="E39" s="22">
        <f>'[10]AP - Activity Tracker'!E29</f>
        <v>6</v>
      </c>
      <c r="F39" s="22">
        <f>'[10]AP - Activity Tracker'!F29</f>
        <v>4</v>
      </c>
      <c r="G39" s="22">
        <f>'[10]AP - Activity Tracker'!G29</f>
        <v>10</v>
      </c>
      <c r="H39" s="22">
        <f>'[10]AP - Activity Tracker'!H29</f>
        <v>0</v>
      </c>
      <c r="I39" s="22">
        <f>'[10]AP - Activity Tracker'!I29</f>
        <v>4</v>
      </c>
      <c r="J39" s="22">
        <f>'[10]AP - Activity Tracker'!J29</f>
        <v>0</v>
      </c>
      <c r="K39" s="22">
        <f>'[10]AP - Activity Tracker'!K29</f>
        <v>0</v>
      </c>
      <c r="L39" s="22">
        <f>'[10]AP - Activity Tracker'!L29</f>
        <v>2</v>
      </c>
      <c r="M39" s="22">
        <f>'[10]AP - Activity Tracker'!M29</f>
        <v>20</v>
      </c>
      <c r="N39" s="22">
        <f>'[10]AP - Activity Tracker'!N29</f>
        <v>8</v>
      </c>
      <c r="O39" s="22">
        <f>'[10]AP - Activity Tracker'!O29</f>
        <v>2</v>
      </c>
      <c r="P39" s="22">
        <f>'[10]AP - Activity Tracker'!P29</f>
        <v>4</v>
      </c>
      <c r="Q39" s="22">
        <f>'[10]AP - Activity Tracker'!Q29</f>
        <v>0</v>
      </c>
      <c r="R39" s="22">
        <f>'[10]AP - Activity Tracker'!R29</f>
        <v>0</v>
      </c>
      <c r="S39" s="22">
        <f>'[10]AP - Activity Tracker'!S29</f>
        <v>8</v>
      </c>
      <c r="T39" s="22">
        <f>'[10]AP - Activity Tracker'!T29</f>
        <v>0</v>
      </c>
      <c r="U39" s="22">
        <f>'[10]AP - Activity Tracker'!U29</f>
        <v>0</v>
      </c>
      <c r="V39" s="22">
        <f>'[10]AP - Activity Tracker'!V29</f>
        <v>7</v>
      </c>
      <c r="W39" s="22">
        <f>'[10]AP - Activity Tracker'!W29</f>
        <v>10</v>
      </c>
      <c r="X39" s="22">
        <f>'[10]AP - Activity Tracker'!X29</f>
        <v>0</v>
      </c>
      <c r="Y39" s="22">
        <f>'[10]AP - Activity Tracker'!Y29</f>
        <v>0</v>
      </c>
      <c r="Z39" s="22">
        <f>'[10]AP - Activity Tracker'!Z29</f>
        <v>6</v>
      </c>
      <c r="AA39" s="22">
        <f>'[10]AP - Activity Tracker'!AA29</f>
        <v>1</v>
      </c>
      <c r="AB39" s="22">
        <f>'[10]AP - Activity Tracker'!AB29</f>
        <v>7</v>
      </c>
      <c r="AC39" s="22">
        <f>'[10]AP - Activity Tracker'!AC29</f>
        <v>52</v>
      </c>
      <c r="AD39" s="22">
        <f>'[10]AP - Activity Tracker'!AD29</f>
        <v>5</v>
      </c>
    </row>
    <row r="40" spans="1:30" ht="15.75">
      <c r="A40" s="118" t="s">
        <v>9</v>
      </c>
      <c r="B40" s="121">
        <f>SUM(B31:B39)</f>
        <v>2602</v>
      </c>
      <c r="C40" s="122">
        <f>SUM(C31:C39)</f>
        <v>0</v>
      </c>
      <c r="D40" s="122">
        <f t="shared" ref="D40:AD40" si="10">SUM(D31:D39)</f>
        <v>0</v>
      </c>
      <c r="E40" s="122">
        <f t="shared" si="10"/>
        <v>123</v>
      </c>
      <c r="F40" s="122">
        <f t="shared" si="10"/>
        <v>59</v>
      </c>
      <c r="G40" s="122">
        <f t="shared" si="10"/>
        <v>199</v>
      </c>
      <c r="H40" s="122">
        <f t="shared" si="10"/>
        <v>50</v>
      </c>
      <c r="I40" s="122">
        <f t="shared" si="10"/>
        <v>70</v>
      </c>
      <c r="J40" s="122">
        <f t="shared" si="10"/>
        <v>0</v>
      </c>
      <c r="K40" s="122">
        <f t="shared" si="10"/>
        <v>0</v>
      </c>
      <c r="L40" s="122">
        <f t="shared" si="10"/>
        <v>20</v>
      </c>
      <c r="M40" s="122">
        <f t="shared" si="10"/>
        <v>215</v>
      </c>
      <c r="N40" s="122">
        <f t="shared" si="10"/>
        <v>125</v>
      </c>
      <c r="O40" s="122">
        <f t="shared" si="10"/>
        <v>68</v>
      </c>
      <c r="P40" s="122">
        <f t="shared" si="10"/>
        <v>71</v>
      </c>
      <c r="Q40" s="122">
        <f t="shared" si="10"/>
        <v>0</v>
      </c>
      <c r="R40" s="122">
        <f t="shared" si="10"/>
        <v>0</v>
      </c>
      <c r="S40" s="122">
        <f t="shared" si="10"/>
        <v>306</v>
      </c>
      <c r="T40" s="122">
        <f t="shared" si="10"/>
        <v>104</v>
      </c>
      <c r="U40" s="122">
        <f t="shared" si="10"/>
        <v>3</v>
      </c>
      <c r="V40" s="122">
        <f t="shared" si="10"/>
        <v>242</v>
      </c>
      <c r="W40" s="122">
        <f t="shared" si="10"/>
        <v>86</v>
      </c>
      <c r="X40" s="122">
        <f t="shared" si="10"/>
        <v>0</v>
      </c>
      <c r="Y40" s="122">
        <f t="shared" si="10"/>
        <v>0</v>
      </c>
      <c r="Z40" s="122">
        <f t="shared" si="10"/>
        <v>207</v>
      </c>
      <c r="AA40" s="122">
        <f t="shared" si="10"/>
        <v>143</v>
      </c>
      <c r="AB40" s="122">
        <f t="shared" si="10"/>
        <v>151</v>
      </c>
      <c r="AC40" s="122">
        <f t="shared" si="10"/>
        <v>265</v>
      </c>
      <c r="AD40" s="122">
        <f t="shared" si="10"/>
        <v>95</v>
      </c>
    </row>
    <row r="41" spans="1:30" ht="15.75">
      <c r="A41" s="159"/>
      <c r="B41" s="159"/>
      <c r="C41" s="159"/>
      <c r="D41" s="159"/>
      <c r="E41" s="159"/>
      <c r="F41" s="159"/>
      <c r="G41" s="159"/>
      <c r="H41" s="159"/>
      <c r="I41" s="159"/>
      <c r="J41" s="159"/>
      <c r="K41" s="159"/>
      <c r="L41" s="159"/>
      <c r="M41" s="159"/>
      <c r="N41" s="159"/>
      <c r="O41" s="159"/>
      <c r="P41" s="159"/>
      <c r="Q41" s="159"/>
      <c r="R41" s="159"/>
      <c r="S41" s="159"/>
      <c r="T41" s="159"/>
      <c r="U41" s="159"/>
      <c r="V41" s="159"/>
      <c r="W41" s="159"/>
      <c r="X41" s="159"/>
    </row>
    <row r="43" spans="1:30" ht="15.75">
      <c r="A43" s="159" t="s">
        <v>331</v>
      </c>
      <c r="B43" s="158" t="e">
        <f>AVERAGE(B5:B6,#REF!)</f>
        <v>#REF!</v>
      </c>
    </row>
    <row r="46" spans="1:30" ht="15.75">
      <c r="A46" s="470"/>
      <c r="B46" s="470"/>
      <c r="C46" s="470"/>
      <c r="D46" s="470"/>
      <c r="E46" s="470"/>
      <c r="F46" s="470"/>
      <c r="G46" s="470"/>
      <c r="H46" s="470"/>
      <c r="I46" s="470"/>
      <c r="J46" s="470"/>
      <c r="K46" s="470"/>
      <c r="L46" s="470"/>
      <c r="M46" s="470"/>
      <c r="N46" s="470"/>
    </row>
    <row r="47" spans="1:30">
      <c r="A47" s="440" t="s">
        <v>487</v>
      </c>
      <c r="B47" s="440"/>
      <c r="C47" s="440"/>
      <c r="D47" s="440"/>
      <c r="E47" s="440"/>
      <c r="F47" s="440"/>
      <c r="G47" s="440"/>
      <c r="H47" s="440"/>
      <c r="I47" s="440"/>
      <c r="J47" s="440"/>
      <c r="K47" s="440"/>
      <c r="L47" s="440"/>
      <c r="M47" s="440"/>
      <c r="N47" s="440"/>
    </row>
    <row r="48" spans="1:30" ht="51">
      <c r="A48" s="116" t="s">
        <v>1069</v>
      </c>
      <c r="B48" s="163" t="s">
        <v>1070</v>
      </c>
      <c r="C48" s="163" t="s">
        <v>1071</v>
      </c>
      <c r="D48" s="164" t="s">
        <v>1072</v>
      </c>
      <c r="E48" s="164" t="s">
        <v>1073</v>
      </c>
      <c r="F48" s="163" t="s">
        <v>65</v>
      </c>
      <c r="G48" s="163" t="s">
        <v>473</v>
      </c>
      <c r="H48" s="164" t="s">
        <v>1074</v>
      </c>
      <c r="I48" s="164" t="s">
        <v>1075</v>
      </c>
      <c r="J48" s="164" t="s">
        <v>1076</v>
      </c>
      <c r="K48" s="164" t="s">
        <v>1077</v>
      </c>
      <c r="L48" s="164" t="s">
        <v>1078</v>
      </c>
      <c r="M48" s="117" t="s">
        <v>20</v>
      </c>
      <c r="N48" s="117" t="s">
        <v>490</v>
      </c>
    </row>
    <row r="49" spans="1:14">
      <c r="A49" s="110" t="s">
        <v>1079</v>
      </c>
      <c r="B49" s="24">
        <f>'[10]AP - Activity Tracker'!B66</f>
        <v>1456</v>
      </c>
      <c r="C49" s="24">
        <f>'[10]AP - Activity Tracker'!B96</f>
        <v>0</v>
      </c>
      <c r="D49" s="24">
        <v>0</v>
      </c>
      <c r="E49" s="24">
        <f>'[10]AP - Activity Tracker'!B103</f>
        <v>0</v>
      </c>
      <c r="F49" s="24">
        <f>'[10]AP - Activity Tracker'!B104</f>
        <v>0</v>
      </c>
      <c r="G49" s="24">
        <f>'[10]AP - Activity Tracker'!B105</f>
        <v>0</v>
      </c>
      <c r="H49" s="24">
        <f>'[10]AP - Activity Tracker'!B106</f>
        <v>0</v>
      </c>
      <c r="I49" s="24">
        <f>'[10]AP - Activity Tracker'!B107</f>
        <v>0</v>
      </c>
      <c r="J49" s="24">
        <f>'[10]AP - Activity Tracker'!B108</f>
        <v>0</v>
      </c>
      <c r="K49" s="24">
        <f>'[10]AP - Activity Tracker'!B109</f>
        <v>0</v>
      </c>
      <c r="L49" s="24">
        <f>'[10]AP - Activity Tracker'!B110</f>
        <v>0</v>
      </c>
      <c r="M49" s="339">
        <f>SUM(B49:L49)</f>
        <v>1456</v>
      </c>
      <c r="N49" s="23">
        <f>COUNTIF(B49:K49,"&gt;0")</f>
        <v>1</v>
      </c>
    </row>
    <row r="50" spans="1:14">
      <c r="A50" s="110" t="s">
        <v>774</v>
      </c>
      <c r="B50" s="24">
        <f>'[10]PR - Activity Tracker'!B66</f>
        <v>0</v>
      </c>
      <c r="C50" s="24">
        <f>'[10]PR - Activity Tracker'!B105</f>
        <v>0</v>
      </c>
      <c r="D50" s="24">
        <f>'[10]PR - Activity Tracker'!B108</f>
        <v>0</v>
      </c>
      <c r="E50" s="24">
        <v>0</v>
      </c>
      <c r="F50" s="24">
        <v>0</v>
      </c>
      <c r="G50" s="24">
        <v>0</v>
      </c>
      <c r="H50" s="24">
        <v>0</v>
      </c>
      <c r="I50" s="24">
        <v>0</v>
      </c>
      <c r="J50" s="24">
        <v>0</v>
      </c>
      <c r="K50" s="24">
        <v>0</v>
      </c>
      <c r="L50" s="24">
        <v>0</v>
      </c>
      <c r="M50" s="339">
        <f t="shared" ref="M50:M53" si="11">SUM(B50:L50)</f>
        <v>0</v>
      </c>
      <c r="N50" s="23">
        <f t="shared" ref="N50:N54" si="12">COUNTIF(B50:K50,"&gt;0")</f>
        <v>0</v>
      </c>
    </row>
    <row r="51" spans="1:14">
      <c r="A51" s="110" t="s">
        <v>1080</v>
      </c>
      <c r="B51" s="24">
        <f>'[10]AP - Activity Tracker'!B67</f>
        <v>0</v>
      </c>
      <c r="C51" s="24">
        <f>'[10]AP - Activity Tracker'!B114</f>
        <v>0</v>
      </c>
      <c r="D51" s="24">
        <v>0</v>
      </c>
      <c r="E51" s="24">
        <f>'[10]AP - Activity Tracker'!B121</f>
        <v>0</v>
      </c>
      <c r="F51" s="24">
        <f>'[10]AP - Activity Tracker'!B122</f>
        <v>0</v>
      </c>
      <c r="G51" s="24">
        <f>'[10]AP - Activity Tracker'!B123</f>
        <v>0</v>
      </c>
      <c r="H51" s="24">
        <f>'[10]AP - Activity Tracker'!B124</f>
        <v>0</v>
      </c>
      <c r="I51" s="24">
        <f>'[10]AP - Activity Tracker'!B125</f>
        <v>0</v>
      </c>
      <c r="J51" s="24">
        <f>'[10]AP - Activity Tracker'!B126</f>
        <v>0</v>
      </c>
      <c r="K51" s="24">
        <f>'[10]AP - Activity Tracker'!B127</f>
        <v>0</v>
      </c>
      <c r="L51" s="24">
        <f>'[10]AP - Activity Tracker'!B128</f>
        <v>0</v>
      </c>
      <c r="M51" s="339">
        <f t="shared" si="11"/>
        <v>0</v>
      </c>
      <c r="N51" s="23">
        <f t="shared" si="12"/>
        <v>0</v>
      </c>
    </row>
    <row r="52" spans="1:14">
      <c r="A52" s="110" t="s">
        <v>805</v>
      </c>
      <c r="B52" s="24">
        <f>'[10]PR - Activity Tracker'!B67</f>
        <v>0</v>
      </c>
      <c r="C52" s="24">
        <f>'[10]PR - Activity Tracker'!B123</f>
        <v>0</v>
      </c>
      <c r="D52" s="24">
        <f>'[10]PR - Activity Tracker'!B126</f>
        <v>0</v>
      </c>
      <c r="E52" s="24">
        <v>0</v>
      </c>
      <c r="F52" s="24">
        <v>0</v>
      </c>
      <c r="G52" s="24">
        <v>0</v>
      </c>
      <c r="H52" s="24">
        <v>0</v>
      </c>
      <c r="I52" s="24">
        <v>0</v>
      </c>
      <c r="J52" s="24">
        <v>0</v>
      </c>
      <c r="K52" s="24">
        <v>0</v>
      </c>
      <c r="L52" s="24">
        <v>0</v>
      </c>
      <c r="M52" s="339">
        <f t="shared" si="11"/>
        <v>0</v>
      </c>
      <c r="N52" s="23">
        <f t="shared" si="12"/>
        <v>0</v>
      </c>
    </row>
    <row r="53" spans="1:14">
      <c r="A53" s="110" t="s">
        <v>1081</v>
      </c>
      <c r="B53" s="24">
        <f>'[10]PR - Activity Tracker'!B68</f>
        <v>0</v>
      </c>
      <c r="C53" s="24">
        <f>'[10]PR - Activity Tracker'!B141</f>
        <v>0</v>
      </c>
      <c r="D53" s="24">
        <f>'[10]PR - Activity Tracker'!B144</f>
        <v>0</v>
      </c>
      <c r="E53" s="24">
        <v>0</v>
      </c>
      <c r="F53" s="24">
        <v>0</v>
      </c>
      <c r="G53" s="24">
        <v>0</v>
      </c>
      <c r="H53" s="24">
        <v>0</v>
      </c>
      <c r="I53" s="24">
        <v>0</v>
      </c>
      <c r="J53" s="24">
        <v>0</v>
      </c>
      <c r="K53" s="24">
        <v>0</v>
      </c>
      <c r="L53" s="24">
        <v>0</v>
      </c>
      <c r="M53" s="339">
        <f t="shared" si="11"/>
        <v>0</v>
      </c>
      <c r="N53" s="23">
        <f t="shared" si="12"/>
        <v>0</v>
      </c>
    </row>
    <row r="54" spans="1:14">
      <c r="A54" s="165" t="s">
        <v>9</v>
      </c>
      <c r="B54" s="214">
        <f>SUM(B49:B53)</f>
        <v>1456</v>
      </c>
      <c r="C54" s="214">
        <f>SUM(C49:C53)</f>
        <v>0</v>
      </c>
      <c r="D54" s="214">
        <f t="shared" ref="D54:L54" si="13">SUM(D49:D53)</f>
        <v>0</v>
      </c>
      <c r="E54" s="214">
        <f>SUM(E49:E53)</f>
        <v>0</v>
      </c>
      <c r="F54" s="214">
        <f t="shared" si="13"/>
        <v>0</v>
      </c>
      <c r="G54" s="214">
        <f t="shared" si="13"/>
        <v>0</v>
      </c>
      <c r="H54" s="214">
        <f t="shared" si="13"/>
        <v>0</v>
      </c>
      <c r="I54" s="214">
        <f t="shared" si="13"/>
        <v>0</v>
      </c>
      <c r="J54" s="214">
        <f t="shared" si="13"/>
        <v>0</v>
      </c>
      <c r="K54" s="214">
        <f t="shared" si="13"/>
        <v>0</v>
      </c>
      <c r="L54" s="214">
        <f t="shared" si="13"/>
        <v>0</v>
      </c>
      <c r="M54" s="336">
        <f>SUM(M49:M53)</f>
        <v>1456</v>
      </c>
      <c r="N54" s="117">
        <f t="shared" si="12"/>
        <v>1</v>
      </c>
    </row>
  </sheetData>
  <mergeCells count="5">
    <mergeCell ref="A46:N46"/>
    <mergeCell ref="A47:N47"/>
    <mergeCell ref="A15:B15"/>
    <mergeCell ref="A29:B29"/>
    <mergeCell ref="A1:B1"/>
  </mergeCells>
  <conditionalFormatting sqref="B49:B53">
    <cfRule type="top10" dxfId="22" priority="23" rank="1"/>
  </conditionalFormatting>
  <conditionalFormatting sqref="B49:L53">
    <cfRule type="cellIs" dxfId="21" priority="1" operator="equal">
      <formula>0</formula>
    </cfRule>
    <cfRule type="cellIs" dxfId="20" priority="14" operator="equal">
      <formula>0</formula>
    </cfRule>
    <cfRule type="cellIs" dxfId="19" priority="15" operator="equal">
      <formula>0</formula>
    </cfRule>
  </conditionalFormatting>
  <conditionalFormatting sqref="C49:C53">
    <cfRule type="top10" dxfId="18" priority="10" rank="1"/>
  </conditionalFormatting>
  <conditionalFormatting sqref="C49:D53">
    <cfRule type="top10" dxfId="17" priority="22" rank="1"/>
  </conditionalFormatting>
  <conditionalFormatting sqref="D49:D53">
    <cfRule type="top10" dxfId="16" priority="9" rank="1"/>
  </conditionalFormatting>
  <conditionalFormatting sqref="E49:E53">
    <cfRule type="top10" dxfId="15" priority="8" rank="1"/>
    <cfRule type="top10" dxfId="14" priority="21" rank="1"/>
  </conditionalFormatting>
  <conditionalFormatting sqref="F49:G53">
    <cfRule type="top10" dxfId="13" priority="7" rank="1"/>
  </conditionalFormatting>
  <conditionalFormatting sqref="F49:L53">
    <cfRule type="top10" dxfId="12" priority="20" rank="1"/>
  </conditionalFormatting>
  <conditionalFormatting sqref="H49:H53">
    <cfRule type="top10" dxfId="11" priority="6" rank="1"/>
  </conditionalFormatting>
  <conditionalFormatting sqref="H49:L53">
    <cfRule type="top10" dxfId="10" priority="19" rank="1"/>
  </conditionalFormatting>
  <conditionalFormatting sqref="I49:I53">
    <cfRule type="top10" dxfId="9" priority="5" rank="1"/>
  </conditionalFormatting>
  <conditionalFormatting sqref="I49:L53">
    <cfRule type="top10" dxfId="8" priority="18" rank="1"/>
  </conditionalFormatting>
  <conditionalFormatting sqref="J49:J53">
    <cfRule type="top10" dxfId="7" priority="4" rank="1"/>
  </conditionalFormatting>
  <conditionalFormatting sqref="J49:L53">
    <cfRule type="top10" dxfId="6" priority="17" rank="1"/>
  </conditionalFormatting>
  <conditionalFormatting sqref="K49:K53">
    <cfRule type="top10" dxfId="5" priority="3" rank="1"/>
  </conditionalFormatting>
  <conditionalFormatting sqref="K49:L53">
    <cfRule type="top10" dxfId="4" priority="16" rank="1"/>
  </conditionalFormatting>
  <conditionalFormatting sqref="L49:L53">
    <cfRule type="top10" dxfId="3" priority="2" rank="1"/>
  </conditionalFormatting>
  <conditionalFormatting sqref="M49:M53">
    <cfRule type="top10" dxfId="2" priority="13" rank="1"/>
  </conditionalFormatting>
  <conditionalFormatting sqref="M49:N53">
    <cfRule type="cellIs" dxfId="1" priority="11" operator="equal">
      <formula>0</formula>
    </cfRule>
  </conditionalFormatting>
  <conditionalFormatting sqref="N49:N53">
    <cfRule type="top10" dxfId="0" priority="12" rank="1"/>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D5E6F-BC3C-4B15-B709-F6E00BBD8BE3}">
  <sheetPr>
    <tabColor rgb="FF00B050"/>
  </sheetPr>
  <dimension ref="A1:P103"/>
  <sheetViews>
    <sheetView zoomScaleNormal="100" workbookViewId="0">
      <selection activeCell="G12" sqref="G12"/>
    </sheetView>
  </sheetViews>
  <sheetFormatPr defaultRowHeight="15"/>
  <cols>
    <col min="1" max="1" width="34.5703125" bestFit="1" customWidth="1"/>
    <col min="2" max="2" width="16.28515625" bestFit="1" customWidth="1"/>
    <col min="3" max="3" width="21.28515625" bestFit="1" customWidth="1"/>
    <col min="4" max="4" width="21.42578125" bestFit="1" customWidth="1"/>
    <col min="5" max="5" width="27" bestFit="1" customWidth="1"/>
    <col min="6" max="6" width="25.5703125" bestFit="1" customWidth="1"/>
    <col min="7" max="7" width="22.42578125" bestFit="1" customWidth="1"/>
    <col min="8" max="8" width="22.7109375" bestFit="1" customWidth="1"/>
    <col min="9" max="9" width="22.28515625" bestFit="1" customWidth="1"/>
    <col min="10" max="10" width="5.85546875" bestFit="1" customWidth="1"/>
  </cols>
  <sheetData>
    <row r="1" spans="1:10">
      <c r="A1" s="64" t="s">
        <v>385</v>
      </c>
    </row>
    <row r="2" spans="1:10" ht="15.75" thickBot="1">
      <c r="A2" s="65"/>
    </row>
    <row r="3" spans="1:10" ht="15.75" thickBot="1">
      <c r="A3" s="55" t="s">
        <v>385</v>
      </c>
      <c r="B3" s="56" t="s">
        <v>386</v>
      </c>
      <c r="C3" s="56" t="s">
        <v>387</v>
      </c>
      <c r="D3" s="56" t="s">
        <v>388</v>
      </c>
      <c r="E3" s="56" t="s">
        <v>389</v>
      </c>
      <c r="F3" s="56" t="s">
        <v>875</v>
      </c>
      <c r="G3" s="56" t="s">
        <v>390</v>
      </c>
      <c r="H3" s="56" t="s">
        <v>14</v>
      </c>
    </row>
    <row r="4" spans="1:10" ht="15.75" thickBot="1">
      <c r="A4" s="57" t="s">
        <v>391</v>
      </c>
      <c r="B4" s="58">
        <v>53</v>
      </c>
      <c r="C4" s="58">
        <v>49</v>
      </c>
      <c r="D4" s="58">
        <v>0</v>
      </c>
      <c r="E4" s="58">
        <v>0</v>
      </c>
      <c r="F4" s="58">
        <v>4</v>
      </c>
      <c r="G4" s="59">
        <v>1</v>
      </c>
      <c r="H4" s="60">
        <v>1</v>
      </c>
    </row>
    <row r="5" spans="1:10" ht="15.75" thickBot="1">
      <c r="A5" s="57" t="s">
        <v>392</v>
      </c>
      <c r="B5" s="61">
        <v>44</v>
      </c>
      <c r="C5" s="61">
        <v>34</v>
      </c>
      <c r="D5" s="61">
        <v>0</v>
      </c>
      <c r="E5" s="61">
        <v>0</v>
      </c>
      <c r="F5" s="61">
        <v>10</v>
      </c>
      <c r="G5" s="59">
        <v>1</v>
      </c>
      <c r="H5" s="59">
        <v>1</v>
      </c>
    </row>
    <row r="6" spans="1:10" ht="15.75" thickBot="1">
      <c r="A6" s="57" t="s">
        <v>1</v>
      </c>
      <c r="B6" s="62">
        <f>SUM(B4:B5)</f>
        <v>97</v>
      </c>
      <c r="C6" s="62">
        <f t="shared" ref="C6:F6" si="0">SUM(C4:C5)</f>
        <v>83</v>
      </c>
      <c r="D6" s="62">
        <f t="shared" si="0"/>
        <v>0</v>
      </c>
      <c r="E6" s="62">
        <f t="shared" si="0"/>
        <v>0</v>
      </c>
      <c r="F6" s="62">
        <f t="shared" si="0"/>
        <v>14</v>
      </c>
      <c r="G6" s="63">
        <v>1</v>
      </c>
      <c r="H6" s="63">
        <v>1</v>
      </c>
    </row>
    <row r="7" spans="1:10">
      <c r="A7" s="65"/>
    </row>
    <row r="8" spans="1:10">
      <c r="A8" s="65"/>
      <c r="I8" t="s">
        <v>759</v>
      </c>
      <c r="J8">
        <f>B6+B48+B54+B63+B79+B83+B89+B95+B71</f>
        <v>281</v>
      </c>
    </row>
    <row r="9" spans="1:10" ht="34.5">
      <c r="A9" s="64" t="s">
        <v>605</v>
      </c>
      <c r="I9" t="s">
        <v>758</v>
      </c>
      <c r="J9">
        <f>C6+C48+C54+C63+C79+C83+C89+C95+C71</f>
        <v>242</v>
      </c>
    </row>
    <row r="10" spans="1:10" ht="15.75" thickBot="1">
      <c r="A10" s="39"/>
      <c r="I10" t="s">
        <v>760</v>
      </c>
      <c r="J10">
        <f>F6+F48+F54+F63+F79+F83+F89+F95</f>
        <v>39</v>
      </c>
    </row>
    <row r="11" spans="1:10" ht="15" customHeight="1">
      <c r="A11" s="476" t="s">
        <v>606</v>
      </c>
      <c r="B11" s="473" t="s">
        <v>607</v>
      </c>
      <c r="C11" s="473" t="s">
        <v>608</v>
      </c>
      <c r="D11" s="473" t="s">
        <v>750</v>
      </c>
      <c r="E11" s="473" t="s">
        <v>609</v>
      </c>
      <c r="F11" s="473" t="s">
        <v>610</v>
      </c>
      <c r="G11" s="20"/>
      <c r="H11" s="126"/>
    </row>
    <row r="12" spans="1:10" ht="15" customHeight="1">
      <c r="A12" s="477"/>
      <c r="B12" s="474"/>
      <c r="C12" s="474"/>
      <c r="D12" s="474"/>
      <c r="E12" s="474"/>
      <c r="F12" s="474"/>
      <c r="G12" s="20"/>
      <c r="H12" s="20"/>
    </row>
    <row r="13" spans="1:10" ht="15.75" customHeight="1" thickBot="1">
      <c r="A13" s="478"/>
      <c r="B13" s="475"/>
      <c r="C13" s="475"/>
      <c r="D13" s="475"/>
      <c r="E13" s="475"/>
      <c r="F13" s="475"/>
      <c r="G13" s="20"/>
      <c r="H13" s="20"/>
    </row>
    <row r="14" spans="1:10" ht="15.75" thickBot="1">
      <c r="A14" s="311" t="s">
        <v>611</v>
      </c>
      <c r="B14" s="300">
        <v>27</v>
      </c>
      <c r="C14" s="300">
        <v>27</v>
      </c>
      <c r="D14" s="300">
        <v>0</v>
      </c>
      <c r="E14" s="300">
        <v>0</v>
      </c>
      <c r="F14" s="300">
        <v>0</v>
      </c>
      <c r="G14" s="20"/>
      <c r="H14" s="20"/>
    </row>
    <row r="15" spans="1:10" ht="15.75" thickBot="1">
      <c r="A15" s="311" t="s">
        <v>612</v>
      </c>
      <c r="B15" s="300">
        <v>25</v>
      </c>
      <c r="C15" s="300">
        <v>13</v>
      </c>
      <c r="D15" s="300">
        <v>5</v>
      </c>
      <c r="E15" s="300">
        <v>0</v>
      </c>
      <c r="F15" s="300">
        <v>7</v>
      </c>
      <c r="G15" s="20"/>
      <c r="H15" s="20"/>
    </row>
    <row r="16" spans="1:10" ht="15.75" thickBot="1">
      <c r="A16" s="311" t="s">
        <v>613</v>
      </c>
      <c r="B16" s="300">
        <v>15</v>
      </c>
      <c r="C16" s="300">
        <v>15</v>
      </c>
      <c r="D16" s="300">
        <v>0</v>
      </c>
      <c r="E16" s="300">
        <v>0</v>
      </c>
      <c r="F16" s="300">
        <v>0</v>
      </c>
      <c r="G16" s="20"/>
      <c r="H16" s="20"/>
    </row>
    <row r="17" spans="1:16" ht="15.75" thickBot="1">
      <c r="A17" s="311" t="s">
        <v>614</v>
      </c>
      <c r="B17" s="300">
        <v>22</v>
      </c>
      <c r="C17" s="300">
        <v>22</v>
      </c>
      <c r="D17" s="300">
        <v>0</v>
      </c>
      <c r="E17" s="300">
        <v>0</v>
      </c>
      <c r="F17" s="300">
        <v>0</v>
      </c>
      <c r="G17" s="20"/>
      <c r="H17" s="20"/>
    </row>
    <row r="18" spans="1:16" ht="15.75" thickBot="1">
      <c r="A18" s="311" t="s">
        <v>615</v>
      </c>
      <c r="B18" s="300">
        <v>9</v>
      </c>
      <c r="C18" s="300">
        <v>8</v>
      </c>
      <c r="D18" s="300">
        <v>1</v>
      </c>
      <c r="E18" s="129">
        <v>0</v>
      </c>
      <c r="F18" s="129">
        <v>0</v>
      </c>
      <c r="G18" s="20"/>
      <c r="H18" s="20"/>
    </row>
    <row r="19" spans="1:16" ht="15.75" thickBot="1">
      <c r="A19" s="311" t="s">
        <v>680</v>
      </c>
      <c r="B19" s="129">
        <v>9</v>
      </c>
      <c r="C19" s="129">
        <v>9</v>
      </c>
      <c r="D19" s="129">
        <v>0</v>
      </c>
      <c r="E19" s="300">
        <v>0</v>
      </c>
      <c r="F19" s="300">
        <v>0</v>
      </c>
      <c r="G19" s="20"/>
      <c r="H19" s="20"/>
    </row>
    <row r="20" spans="1:16" ht="15.75" thickBot="1">
      <c r="A20" s="311" t="s">
        <v>681</v>
      </c>
      <c r="B20" s="300">
        <v>2</v>
      </c>
      <c r="C20" s="300">
        <v>2</v>
      </c>
      <c r="D20" s="300">
        <v>0</v>
      </c>
      <c r="E20" s="300">
        <v>0</v>
      </c>
      <c r="F20" s="300">
        <v>0</v>
      </c>
      <c r="G20" s="20"/>
      <c r="H20" s="20"/>
    </row>
    <row r="21" spans="1:16" ht="15.75" thickBot="1">
      <c r="A21" s="311" t="s">
        <v>682</v>
      </c>
      <c r="B21" s="300">
        <v>5</v>
      </c>
      <c r="C21" s="300">
        <v>0</v>
      </c>
      <c r="D21" s="300">
        <v>5</v>
      </c>
      <c r="E21" s="129">
        <v>0</v>
      </c>
      <c r="F21" s="129">
        <v>0</v>
      </c>
      <c r="G21" s="20"/>
      <c r="H21" s="20"/>
    </row>
    <row r="22" spans="1:16" ht="15.75" thickBot="1">
      <c r="A22" s="127" t="s">
        <v>1</v>
      </c>
      <c r="B22" s="128">
        <f>SUM(B14:B21)</f>
        <v>114</v>
      </c>
      <c r="C22" s="128">
        <f t="shared" ref="C22:F22" si="1">SUM(C14:C21)</f>
        <v>96</v>
      </c>
      <c r="D22" s="128">
        <f t="shared" si="1"/>
        <v>11</v>
      </c>
      <c r="E22" s="128">
        <f t="shared" si="1"/>
        <v>0</v>
      </c>
      <c r="F22" s="128">
        <f t="shared" si="1"/>
        <v>7</v>
      </c>
      <c r="G22" s="20"/>
      <c r="H22" s="20"/>
    </row>
    <row r="23" spans="1:16">
      <c r="A23" s="39"/>
    </row>
    <row r="24" spans="1:16" ht="34.5">
      <c r="A24" s="64" t="s">
        <v>616</v>
      </c>
    </row>
    <row r="25" spans="1:16" ht="15.75" thickBot="1">
      <c r="A25" s="39"/>
    </row>
    <row r="26" spans="1:16" ht="15" customHeight="1">
      <c r="A26" s="476" t="s">
        <v>606</v>
      </c>
      <c r="B26" s="473" t="s">
        <v>607</v>
      </c>
      <c r="C26" s="473" t="s">
        <v>617</v>
      </c>
      <c r="D26" s="473" t="s">
        <v>618</v>
      </c>
      <c r="E26" s="473" t="s">
        <v>619</v>
      </c>
      <c r="F26" s="473" t="s">
        <v>620</v>
      </c>
      <c r="G26" s="473" t="s">
        <v>621</v>
      </c>
      <c r="H26" s="20"/>
      <c r="I26" s="20"/>
      <c r="J26" s="20"/>
      <c r="K26" s="20"/>
      <c r="L26" s="20"/>
      <c r="M26" s="20"/>
      <c r="N26" s="20"/>
      <c r="O26" s="20"/>
      <c r="P26" s="20"/>
    </row>
    <row r="27" spans="1:16" ht="15" customHeight="1">
      <c r="A27" s="477"/>
      <c r="B27" s="474"/>
      <c r="C27" s="474"/>
      <c r="D27" s="474"/>
      <c r="E27" s="474"/>
      <c r="F27" s="474"/>
      <c r="G27" s="474"/>
      <c r="H27" s="353"/>
      <c r="I27" s="20"/>
      <c r="J27" s="20"/>
      <c r="K27" s="20"/>
      <c r="L27" s="20"/>
      <c r="M27" s="20"/>
      <c r="N27" s="20"/>
      <c r="O27" s="20"/>
      <c r="P27" s="20"/>
    </row>
    <row r="28" spans="1:16" ht="15.75" customHeight="1" thickBot="1">
      <c r="A28" s="478"/>
      <c r="B28" s="480"/>
      <c r="C28" s="475"/>
      <c r="D28" s="475"/>
      <c r="E28" s="475"/>
      <c r="F28" s="475"/>
      <c r="G28" s="475"/>
      <c r="H28" s="353"/>
      <c r="I28" s="20"/>
      <c r="J28" s="20"/>
      <c r="K28" s="20"/>
      <c r="L28" s="20"/>
      <c r="M28" s="20"/>
      <c r="N28" s="20"/>
      <c r="O28" s="20"/>
      <c r="P28" s="20"/>
    </row>
    <row r="29" spans="1:16" ht="15.75" thickBot="1">
      <c r="A29" s="311" t="s">
        <v>611</v>
      </c>
      <c r="B29" s="300">
        <v>27</v>
      </c>
      <c r="C29" s="300">
        <v>27</v>
      </c>
      <c r="D29" s="300">
        <v>0</v>
      </c>
      <c r="E29" s="300">
        <v>0</v>
      </c>
      <c r="F29" s="300">
        <v>0</v>
      </c>
      <c r="G29" s="300">
        <v>0</v>
      </c>
      <c r="H29" s="20"/>
      <c r="I29" s="20"/>
      <c r="J29" s="20"/>
      <c r="K29" s="20"/>
      <c r="L29" s="20"/>
      <c r="M29" s="20"/>
      <c r="N29" s="20"/>
      <c r="O29" s="20"/>
      <c r="P29" s="20"/>
    </row>
    <row r="30" spans="1:16" ht="15.75" thickBot="1">
      <c r="A30" s="311" t="s">
        <v>612</v>
      </c>
      <c r="B30" s="300">
        <v>25</v>
      </c>
      <c r="C30" s="129">
        <v>11</v>
      </c>
      <c r="D30" s="300">
        <v>12</v>
      </c>
      <c r="E30" s="129">
        <v>0</v>
      </c>
      <c r="F30" s="129">
        <v>0</v>
      </c>
      <c r="G30" s="129">
        <v>2</v>
      </c>
      <c r="H30" s="20"/>
      <c r="I30" s="20"/>
      <c r="J30" s="20"/>
      <c r="K30" s="20"/>
      <c r="L30" s="20"/>
      <c r="M30" s="20"/>
      <c r="N30" s="20"/>
      <c r="O30" s="20"/>
      <c r="P30" s="20"/>
    </row>
    <row r="31" spans="1:16" ht="15.75" thickBot="1">
      <c r="A31" s="311" t="s">
        <v>613</v>
      </c>
      <c r="B31" s="300">
        <v>15</v>
      </c>
      <c r="C31" s="129">
        <v>15</v>
      </c>
      <c r="D31" s="300">
        <v>0</v>
      </c>
      <c r="E31" s="300">
        <v>0</v>
      </c>
      <c r="F31" s="300">
        <v>0</v>
      </c>
      <c r="G31" s="300">
        <v>7</v>
      </c>
      <c r="H31" s="20"/>
      <c r="I31" s="20"/>
      <c r="J31" s="20"/>
      <c r="K31" s="20"/>
      <c r="L31" s="20"/>
      <c r="M31" s="20"/>
      <c r="N31" s="20"/>
      <c r="O31" s="20"/>
      <c r="P31" s="20"/>
    </row>
    <row r="32" spans="1:16" ht="15.75" thickBot="1">
      <c r="A32" s="311" t="s">
        <v>614</v>
      </c>
      <c r="B32" s="300">
        <v>22</v>
      </c>
      <c r="C32" s="129">
        <v>19</v>
      </c>
      <c r="D32" s="129">
        <v>0</v>
      </c>
      <c r="E32" s="129">
        <v>0</v>
      </c>
      <c r="F32" s="300">
        <v>0</v>
      </c>
      <c r="G32" s="300">
        <v>3</v>
      </c>
      <c r="H32" s="20"/>
      <c r="I32" s="20"/>
      <c r="J32" s="20"/>
      <c r="K32" s="20"/>
      <c r="L32" s="20"/>
      <c r="M32" s="20"/>
      <c r="N32" s="20"/>
      <c r="O32" s="20"/>
      <c r="P32" s="20"/>
    </row>
    <row r="33" spans="1:16" ht="15.75" thickBot="1">
      <c r="A33" s="311" t="s">
        <v>615</v>
      </c>
      <c r="B33" s="300">
        <v>9</v>
      </c>
      <c r="C33" s="300">
        <v>6</v>
      </c>
      <c r="D33" s="129">
        <v>0</v>
      </c>
      <c r="E33" s="129">
        <v>0</v>
      </c>
      <c r="F33" s="300">
        <v>0</v>
      </c>
      <c r="G33" s="129">
        <v>3</v>
      </c>
      <c r="H33" s="20"/>
      <c r="I33" s="20"/>
      <c r="J33" s="20"/>
      <c r="K33" s="20"/>
      <c r="L33" s="20"/>
      <c r="M33" s="20"/>
      <c r="N33" s="20"/>
      <c r="O33" s="20"/>
      <c r="P33" s="20"/>
    </row>
    <row r="34" spans="1:16" ht="15.75" thickBot="1">
      <c r="A34" s="311" t="s">
        <v>680</v>
      </c>
      <c r="B34" s="129">
        <v>9</v>
      </c>
      <c r="C34" s="129">
        <v>8</v>
      </c>
      <c r="D34" s="300">
        <v>0</v>
      </c>
      <c r="E34" s="300">
        <v>0</v>
      </c>
      <c r="F34" s="300">
        <v>0</v>
      </c>
      <c r="G34" s="300">
        <v>1</v>
      </c>
      <c r="H34" s="20"/>
      <c r="I34" s="20"/>
      <c r="J34" s="20"/>
      <c r="K34" s="20"/>
      <c r="L34" s="20"/>
      <c r="M34" s="20"/>
      <c r="N34" s="20"/>
      <c r="O34" s="20"/>
      <c r="P34" s="20"/>
    </row>
    <row r="35" spans="1:16" ht="15.75" thickBot="1">
      <c r="A35" s="311" t="s">
        <v>681</v>
      </c>
      <c r="B35" s="300">
        <v>2</v>
      </c>
      <c r="C35" s="300">
        <v>0</v>
      </c>
      <c r="D35" s="129">
        <v>0</v>
      </c>
      <c r="E35" s="129">
        <v>2</v>
      </c>
      <c r="F35" s="300">
        <v>0</v>
      </c>
      <c r="G35" s="300">
        <v>0</v>
      </c>
      <c r="H35" s="20"/>
      <c r="I35" s="20"/>
      <c r="J35" s="20"/>
      <c r="K35" s="20"/>
      <c r="L35" s="20"/>
      <c r="M35" s="20"/>
      <c r="N35" s="20"/>
      <c r="O35" s="20"/>
      <c r="P35" s="20"/>
    </row>
    <row r="36" spans="1:16" ht="15.75" thickBot="1">
      <c r="A36" s="311" t="s">
        <v>682</v>
      </c>
      <c r="B36" s="300">
        <v>5</v>
      </c>
      <c r="C36" s="300">
        <v>0</v>
      </c>
      <c r="D36" s="300">
        <v>0</v>
      </c>
      <c r="E36" s="300">
        <v>0</v>
      </c>
      <c r="F36" s="300">
        <v>0</v>
      </c>
      <c r="G36" s="300">
        <v>5</v>
      </c>
      <c r="H36" s="20"/>
      <c r="I36" s="20"/>
      <c r="J36" s="20"/>
      <c r="K36" s="20"/>
      <c r="L36" s="20"/>
      <c r="M36" s="20"/>
      <c r="N36" s="20"/>
      <c r="O36" s="20"/>
      <c r="P36" s="20"/>
    </row>
    <row r="37" spans="1:16" ht="15.75" thickBot="1">
      <c r="A37" s="127" t="s">
        <v>1</v>
      </c>
      <c r="B37" s="128">
        <f>SUM(B29:B36)</f>
        <v>114</v>
      </c>
      <c r="C37" s="128">
        <f t="shared" ref="C37:G37" si="2">SUM(C29:C36)</f>
        <v>86</v>
      </c>
      <c r="D37" s="128">
        <f t="shared" si="2"/>
        <v>12</v>
      </c>
      <c r="E37" s="128">
        <f t="shared" si="2"/>
        <v>2</v>
      </c>
      <c r="F37" s="128">
        <f t="shared" si="2"/>
        <v>0</v>
      </c>
      <c r="G37" s="128">
        <f t="shared" si="2"/>
        <v>21</v>
      </c>
      <c r="H37" s="20"/>
      <c r="I37" s="20"/>
      <c r="J37" s="20"/>
      <c r="K37" s="20"/>
      <c r="L37" s="20"/>
      <c r="M37" s="20"/>
      <c r="N37" s="20"/>
      <c r="O37" s="20"/>
      <c r="P37" s="20"/>
    </row>
    <row r="38" spans="1:16">
      <c r="A38" s="39"/>
    </row>
    <row r="39" spans="1:16" ht="15.75" thickBot="1">
      <c r="A39" s="131" t="s">
        <v>876</v>
      </c>
    </row>
    <row r="40" spans="1:16" ht="15.75" thickBot="1">
      <c r="A40" s="55" t="s">
        <v>393</v>
      </c>
      <c r="B40" s="56" t="s">
        <v>386</v>
      </c>
      <c r="C40" s="56" t="s">
        <v>387</v>
      </c>
      <c r="D40" s="56" t="s">
        <v>388</v>
      </c>
      <c r="E40" s="56" t="s">
        <v>389</v>
      </c>
      <c r="F40" s="56" t="s">
        <v>875</v>
      </c>
      <c r="G40" s="56" t="s">
        <v>390</v>
      </c>
      <c r="H40" s="56" t="s">
        <v>14</v>
      </c>
      <c r="I40" s="56" t="s">
        <v>394</v>
      </c>
    </row>
    <row r="41" spans="1:16" ht="15.75" thickBot="1">
      <c r="A41" s="57" t="s">
        <v>395</v>
      </c>
      <c r="B41" s="61">
        <v>4</v>
      </c>
      <c r="C41" s="61">
        <v>4</v>
      </c>
      <c r="D41" s="61">
        <v>0</v>
      </c>
      <c r="E41" s="61">
        <v>0</v>
      </c>
      <c r="F41" s="61">
        <v>0</v>
      </c>
      <c r="G41" s="59">
        <v>1</v>
      </c>
      <c r="H41" s="59">
        <v>1</v>
      </c>
      <c r="I41" s="59">
        <v>1</v>
      </c>
    </row>
    <row r="42" spans="1:16" ht="15.75" thickBot="1">
      <c r="A42" s="57" t="s">
        <v>396</v>
      </c>
      <c r="B42" s="61">
        <v>1</v>
      </c>
      <c r="C42" s="61">
        <v>1</v>
      </c>
      <c r="D42" s="61">
        <v>0</v>
      </c>
      <c r="E42" s="61">
        <v>0</v>
      </c>
      <c r="F42" s="61">
        <v>0</v>
      </c>
      <c r="G42" s="59">
        <v>1</v>
      </c>
      <c r="H42" s="59">
        <v>1</v>
      </c>
      <c r="I42" s="59">
        <v>1</v>
      </c>
    </row>
    <row r="43" spans="1:16" ht="15.75" thickBot="1">
      <c r="A43" s="57" t="s">
        <v>391</v>
      </c>
      <c r="B43" s="61">
        <v>24</v>
      </c>
      <c r="C43" s="61">
        <v>22</v>
      </c>
      <c r="D43" s="61">
        <v>0</v>
      </c>
      <c r="E43" s="61">
        <v>0</v>
      </c>
      <c r="F43" s="61">
        <v>2</v>
      </c>
      <c r="G43" s="59">
        <v>1</v>
      </c>
      <c r="H43" s="59">
        <v>1</v>
      </c>
      <c r="I43" s="59">
        <v>1</v>
      </c>
    </row>
    <row r="44" spans="1:16" ht="15.75" thickBot="1">
      <c r="A44" s="57" t="s">
        <v>748</v>
      </c>
      <c r="B44" s="58">
        <v>1</v>
      </c>
      <c r="C44" s="58">
        <v>1</v>
      </c>
      <c r="D44" s="58">
        <v>0</v>
      </c>
      <c r="E44" s="58">
        <v>0</v>
      </c>
      <c r="F44" s="58">
        <v>0</v>
      </c>
      <c r="G44" s="59">
        <v>1</v>
      </c>
      <c r="H44" s="59">
        <v>1</v>
      </c>
      <c r="I44" s="59">
        <v>1</v>
      </c>
    </row>
    <row r="45" spans="1:16" ht="15.75" thickBot="1">
      <c r="A45" s="57" t="s">
        <v>397</v>
      </c>
      <c r="B45" s="58">
        <v>1</v>
      </c>
      <c r="C45" s="58">
        <v>1</v>
      </c>
      <c r="D45" s="58">
        <v>0</v>
      </c>
      <c r="E45" s="58">
        <v>0</v>
      </c>
      <c r="F45" s="58">
        <v>0</v>
      </c>
      <c r="G45" s="59">
        <v>1</v>
      </c>
      <c r="H45" s="59">
        <v>1</v>
      </c>
      <c r="I45" s="59">
        <v>1</v>
      </c>
    </row>
    <row r="46" spans="1:16" ht="15.75" thickBot="1">
      <c r="A46" s="57" t="s">
        <v>392</v>
      </c>
      <c r="B46" s="58">
        <v>27</v>
      </c>
      <c r="C46" s="58">
        <v>23</v>
      </c>
      <c r="D46" s="58">
        <v>0</v>
      </c>
      <c r="E46" s="58">
        <v>0</v>
      </c>
      <c r="F46" s="58">
        <v>4</v>
      </c>
      <c r="G46" s="59">
        <v>1</v>
      </c>
      <c r="H46" s="59">
        <v>1</v>
      </c>
      <c r="I46" s="59">
        <v>1</v>
      </c>
    </row>
    <row r="47" spans="1:16" ht="15.75" thickBot="1">
      <c r="A47" s="57" t="s">
        <v>398</v>
      </c>
      <c r="B47" s="58">
        <v>1</v>
      </c>
      <c r="C47" s="58">
        <v>0</v>
      </c>
      <c r="D47" s="58">
        <v>0</v>
      </c>
      <c r="E47" s="58">
        <v>0</v>
      </c>
      <c r="F47" s="58">
        <v>1</v>
      </c>
      <c r="G47" s="61" t="s">
        <v>11</v>
      </c>
      <c r="H47" s="59">
        <v>1</v>
      </c>
      <c r="I47" s="59">
        <v>1</v>
      </c>
    </row>
    <row r="48" spans="1:16" ht="15.75" thickBot="1">
      <c r="A48" s="57" t="s">
        <v>1</v>
      </c>
      <c r="B48" s="62">
        <f>SUM(B41:B47)</f>
        <v>59</v>
      </c>
      <c r="C48" s="62">
        <f t="shared" ref="C48:F48" si="3">SUM(C41:C47)</f>
        <v>52</v>
      </c>
      <c r="D48" s="62">
        <f t="shared" si="3"/>
        <v>0</v>
      </c>
      <c r="E48" s="62">
        <f t="shared" si="3"/>
        <v>0</v>
      </c>
      <c r="F48" s="62">
        <f t="shared" si="3"/>
        <v>7</v>
      </c>
      <c r="G48" s="63">
        <v>1</v>
      </c>
      <c r="H48" s="63">
        <v>1</v>
      </c>
      <c r="I48" s="63">
        <v>1</v>
      </c>
    </row>
    <row r="49" spans="1:8">
      <c r="A49" s="131"/>
    </row>
    <row r="50" spans="1:8" ht="15.75" thickBot="1">
      <c r="A50" s="131" t="s">
        <v>399</v>
      </c>
    </row>
    <row r="51" spans="1:8" ht="15.75" thickBot="1">
      <c r="A51" s="133" t="s">
        <v>399</v>
      </c>
      <c r="B51" s="134" t="s">
        <v>386</v>
      </c>
      <c r="C51" s="134" t="s">
        <v>387</v>
      </c>
      <c r="D51" s="134" t="s">
        <v>388</v>
      </c>
      <c r="E51" s="134" t="s">
        <v>389</v>
      </c>
      <c r="F51" s="134" t="s">
        <v>875</v>
      </c>
      <c r="G51" s="134" t="s">
        <v>390</v>
      </c>
      <c r="H51" s="134" t="s">
        <v>14</v>
      </c>
    </row>
    <row r="52" spans="1:8" ht="15.75" thickBot="1">
      <c r="A52" s="135" t="s">
        <v>474</v>
      </c>
      <c r="B52" s="136">
        <v>16</v>
      </c>
      <c r="C52" s="136">
        <v>16</v>
      </c>
      <c r="D52" s="136">
        <v>0</v>
      </c>
      <c r="E52" s="136">
        <v>0</v>
      </c>
      <c r="F52" s="136">
        <v>0</v>
      </c>
      <c r="G52" s="137">
        <v>1</v>
      </c>
      <c r="H52" s="137">
        <v>1</v>
      </c>
    </row>
    <row r="53" spans="1:8" ht="15.75" thickBot="1">
      <c r="A53" s="135" t="s">
        <v>400</v>
      </c>
      <c r="B53" s="138">
        <v>1</v>
      </c>
      <c r="C53" s="138">
        <v>1</v>
      </c>
      <c r="D53" s="138">
        <v>0</v>
      </c>
      <c r="E53" s="138">
        <v>0</v>
      </c>
      <c r="F53" s="138">
        <v>0</v>
      </c>
      <c r="G53" s="139">
        <v>1</v>
      </c>
      <c r="H53" s="139">
        <v>1</v>
      </c>
    </row>
    <row r="54" spans="1:8" ht="15.75" thickBot="1">
      <c r="A54" s="135" t="s">
        <v>1</v>
      </c>
      <c r="B54" s="140">
        <f>SUM(B52:B53)</f>
        <v>17</v>
      </c>
      <c r="C54" s="140">
        <f t="shared" ref="C54:F54" si="4">SUM(C52:C53)</f>
        <v>17</v>
      </c>
      <c r="D54" s="140">
        <f t="shared" si="4"/>
        <v>0</v>
      </c>
      <c r="E54" s="140">
        <f t="shared" si="4"/>
        <v>0</v>
      </c>
      <c r="F54" s="140">
        <f t="shared" si="4"/>
        <v>0</v>
      </c>
      <c r="G54" s="141">
        <v>1</v>
      </c>
      <c r="H54" s="141">
        <v>1</v>
      </c>
    </row>
    <row r="55" spans="1:8">
      <c r="A55" s="142"/>
    </row>
    <row r="56" spans="1:8">
      <c r="A56" s="131" t="s">
        <v>401</v>
      </c>
    </row>
    <row r="57" spans="1:8" ht="15.75" thickBot="1">
      <c r="A57" s="132"/>
    </row>
    <row r="58" spans="1:8" ht="15.75" thickBot="1">
      <c r="A58" s="133" t="s">
        <v>401</v>
      </c>
      <c r="B58" s="134" t="s">
        <v>386</v>
      </c>
      <c r="C58" s="134" t="s">
        <v>387</v>
      </c>
      <c r="D58" s="134" t="s">
        <v>388</v>
      </c>
      <c r="E58" s="134" t="s">
        <v>389</v>
      </c>
      <c r="F58" s="134" t="s">
        <v>875</v>
      </c>
      <c r="G58" s="134" t="s">
        <v>390</v>
      </c>
      <c r="H58" s="134" t="s">
        <v>14</v>
      </c>
    </row>
    <row r="59" spans="1:8" ht="15.75" thickBot="1">
      <c r="A59" s="135" t="s">
        <v>474</v>
      </c>
      <c r="B59" s="136">
        <v>36</v>
      </c>
      <c r="C59" s="136">
        <v>36</v>
      </c>
      <c r="D59" s="136">
        <v>0</v>
      </c>
      <c r="E59" s="136">
        <v>0</v>
      </c>
      <c r="F59" s="136">
        <v>0</v>
      </c>
      <c r="G59" s="137">
        <v>1</v>
      </c>
      <c r="H59" s="137">
        <v>1</v>
      </c>
    </row>
    <row r="60" spans="1:8" ht="15.75" thickBot="1">
      <c r="A60" s="135" t="s">
        <v>392</v>
      </c>
      <c r="B60" s="138">
        <v>1</v>
      </c>
      <c r="C60" s="138">
        <v>1</v>
      </c>
      <c r="D60" s="138">
        <v>0</v>
      </c>
      <c r="E60" s="138">
        <v>0</v>
      </c>
      <c r="F60" s="138">
        <v>0</v>
      </c>
      <c r="G60" s="139">
        <v>1</v>
      </c>
      <c r="H60" s="139">
        <v>1</v>
      </c>
    </row>
    <row r="61" spans="1:8" ht="15.75" thickBot="1">
      <c r="A61" s="135" t="s">
        <v>593</v>
      </c>
      <c r="B61" s="138">
        <v>1</v>
      </c>
      <c r="C61" s="138">
        <v>1</v>
      </c>
      <c r="D61" s="138">
        <v>0</v>
      </c>
      <c r="E61" s="138">
        <v>0</v>
      </c>
      <c r="F61" s="138">
        <v>0</v>
      </c>
      <c r="G61" s="139">
        <v>1</v>
      </c>
      <c r="H61" s="139">
        <v>1</v>
      </c>
    </row>
    <row r="62" spans="1:8" ht="15.75" thickBot="1">
      <c r="A62" s="135" t="s">
        <v>594</v>
      </c>
      <c r="B62" s="136">
        <v>4</v>
      </c>
      <c r="C62" s="136">
        <v>4</v>
      </c>
      <c r="D62" s="136">
        <v>0</v>
      </c>
      <c r="E62" s="136">
        <v>0</v>
      </c>
      <c r="F62" s="136">
        <v>0</v>
      </c>
      <c r="G62" s="137">
        <v>1</v>
      </c>
      <c r="H62" s="137">
        <v>1</v>
      </c>
    </row>
    <row r="63" spans="1:8" ht="15.75" thickBot="1">
      <c r="A63" s="135" t="s">
        <v>1</v>
      </c>
      <c r="B63" s="140">
        <f>SUM(B59:B62)</f>
        <v>42</v>
      </c>
      <c r="C63" s="140">
        <f t="shared" ref="C63:F63" si="5">SUM(C59:C62)</f>
        <v>42</v>
      </c>
      <c r="D63" s="140">
        <f t="shared" si="5"/>
        <v>0</v>
      </c>
      <c r="E63" s="140">
        <f t="shared" si="5"/>
        <v>0</v>
      </c>
      <c r="F63" s="140">
        <f t="shared" si="5"/>
        <v>0</v>
      </c>
      <c r="G63" s="141">
        <v>1</v>
      </c>
      <c r="H63" s="141">
        <v>1</v>
      </c>
    </row>
    <row r="64" spans="1:8">
      <c r="A64" s="142"/>
    </row>
    <row r="65" spans="1:8">
      <c r="A65" s="131" t="s">
        <v>1085</v>
      </c>
    </row>
    <row r="66" spans="1:8" ht="15.75" thickBot="1">
      <c r="A66" s="132"/>
    </row>
    <row r="67" spans="1:8" ht="15.75" thickBot="1">
      <c r="A67" s="133" t="s">
        <v>401</v>
      </c>
      <c r="B67" s="134" t="s">
        <v>386</v>
      </c>
      <c r="C67" s="134" t="s">
        <v>387</v>
      </c>
      <c r="D67" s="134" t="s">
        <v>388</v>
      </c>
      <c r="E67" s="134" t="s">
        <v>389</v>
      </c>
      <c r="F67" s="134" t="s">
        <v>875</v>
      </c>
      <c r="G67" s="134" t="s">
        <v>390</v>
      </c>
      <c r="H67" s="134" t="s">
        <v>14</v>
      </c>
    </row>
    <row r="68" spans="1:8" ht="15.75" thickBot="1">
      <c r="A68" s="135" t="s">
        <v>474</v>
      </c>
      <c r="B68" s="136">
        <v>1</v>
      </c>
      <c r="C68" s="136">
        <v>1</v>
      </c>
      <c r="D68" s="136">
        <v>0</v>
      </c>
      <c r="E68" s="136">
        <v>0</v>
      </c>
      <c r="F68" s="136">
        <v>0</v>
      </c>
      <c r="G68" s="137">
        <v>1</v>
      </c>
      <c r="H68" s="137">
        <v>1</v>
      </c>
    </row>
    <row r="69" spans="1:8" ht="15.75" thickBot="1">
      <c r="A69" s="135" t="s">
        <v>1086</v>
      </c>
      <c r="B69" s="138">
        <v>2</v>
      </c>
      <c r="C69" s="138">
        <v>2</v>
      </c>
      <c r="D69" s="138">
        <v>0</v>
      </c>
      <c r="E69" s="138">
        <v>0</v>
      </c>
      <c r="F69" s="138">
        <v>0</v>
      </c>
      <c r="G69" s="139">
        <v>1</v>
      </c>
      <c r="H69" s="139">
        <v>1</v>
      </c>
    </row>
    <row r="70" spans="1:8" ht="15.75" thickBot="1">
      <c r="A70" s="135" t="s">
        <v>594</v>
      </c>
      <c r="B70" s="136">
        <v>4</v>
      </c>
      <c r="C70" s="136">
        <v>4</v>
      </c>
      <c r="D70" s="136">
        <v>0</v>
      </c>
      <c r="E70" s="136">
        <v>0</v>
      </c>
      <c r="F70" s="136">
        <v>0</v>
      </c>
      <c r="G70" s="137">
        <v>1</v>
      </c>
      <c r="H70" s="137">
        <v>1</v>
      </c>
    </row>
    <row r="71" spans="1:8" ht="15.75" thickBot="1">
      <c r="A71" s="135" t="s">
        <v>1</v>
      </c>
      <c r="B71" s="140">
        <f>SUM(B68:B70)</f>
        <v>7</v>
      </c>
      <c r="C71" s="140">
        <f>SUM(C68:C70)</f>
        <v>7</v>
      </c>
      <c r="D71" s="140">
        <f>SUM(D68:D70)</f>
        <v>0</v>
      </c>
      <c r="E71" s="140">
        <f>SUM(E68:E70)</f>
        <v>0</v>
      </c>
      <c r="F71" s="140">
        <f>SUM(F68:F70)</f>
        <v>0</v>
      </c>
      <c r="G71" s="141">
        <v>1</v>
      </c>
      <c r="H71" s="141">
        <v>1</v>
      </c>
    </row>
    <row r="72" spans="1:8">
      <c r="A72" s="142"/>
    </row>
    <row r="73" spans="1:8">
      <c r="A73" s="131" t="s">
        <v>402</v>
      </c>
    </row>
    <row r="74" spans="1:8" ht="15.75" thickBot="1">
      <c r="A74" s="132"/>
    </row>
    <row r="75" spans="1:8" ht="15.75" thickBot="1">
      <c r="A75" s="143" t="s">
        <v>402</v>
      </c>
      <c r="B75" s="144" t="s">
        <v>386</v>
      </c>
      <c r="C75" s="144" t="s">
        <v>387</v>
      </c>
      <c r="D75" s="144" t="s">
        <v>388</v>
      </c>
      <c r="E75" s="144" t="s">
        <v>389</v>
      </c>
      <c r="F75" s="134" t="s">
        <v>877</v>
      </c>
      <c r="G75" s="144" t="s">
        <v>390</v>
      </c>
      <c r="H75" s="134" t="s">
        <v>14</v>
      </c>
    </row>
    <row r="76" spans="1:8" ht="15.75" thickBot="1">
      <c r="A76" s="135" t="s">
        <v>474</v>
      </c>
      <c r="B76" s="138">
        <v>14</v>
      </c>
      <c r="C76" s="138">
        <v>14</v>
      </c>
      <c r="D76" s="138">
        <v>0</v>
      </c>
      <c r="E76" s="138">
        <v>0</v>
      </c>
      <c r="F76" s="138">
        <v>0</v>
      </c>
      <c r="G76" s="139">
        <v>1</v>
      </c>
      <c r="H76" s="139">
        <v>1</v>
      </c>
    </row>
    <row r="77" spans="1:8" ht="15.75" thickBot="1">
      <c r="A77" s="135" t="s">
        <v>392</v>
      </c>
      <c r="B77" s="138">
        <v>1</v>
      </c>
      <c r="C77" s="138">
        <v>1</v>
      </c>
      <c r="D77" s="138">
        <v>0</v>
      </c>
      <c r="E77" s="138">
        <v>0</v>
      </c>
      <c r="F77" s="138">
        <v>0</v>
      </c>
      <c r="G77" s="191" t="s">
        <v>756</v>
      </c>
      <c r="H77" s="139">
        <v>1</v>
      </c>
    </row>
    <row r="78" spans="1:8" ht="15.75" thickBot="1">
      <c r="A78" s="135" t="s">
        <v>594</v>
      </c>
      <c r="B78" s="136">
        <v>8</v>
      </c>
      <c r="C78" s="136">
        <v>8</v>
      </c>
      <c r="D78" s="136">
        <v>0</v>
      </c>
      <c r="E78" s="136">
        <v>0</v>
      </c>
      <c r="F78" s="136">
        <v>0</v>
      </c>
      <c r="G78" s="192" t="s">
        <v>756</v>
      </c>
      <c r="H78" s="137">
        <v>1</v>
      </c>
    </row>
    <row r="79" spans="1:8" ht="15.75" thickBot="1">
      <c r="A79" s="145" t="s">
        <v>1</v>
      </c>
      <c r="B79" s="146">
        <f>SUM(B76:B78)</f>
        <v>23</v>
      </c>
      <c r="C79" s="146">
        <f t="shared" ref="C79:F79" si="6">SUM(C76:C78)</f>
        <v>23</v>
      </c>
      <c r="D79" s="146">
        <f t="shared" si="6"/>
        <v>0</v>
      </c>
      <c r="E79" s="146">
        <f t="shared" si="6"/>
        <v>0</v>
      </c>
      <c r="F79" s="146">
        <f t="shared" si="6"/>
        <v>0</v>
      </c>
      <c r="G79" s="193" t="s">
        <v>757</v>
      </c>
      <c r="H79" s="141">
        <v>1</v>
      </c>
    </row>
    <row r="80" spans="1:8" ht="15.75" thickBot="1">
      <c r="A80" s="132"/>
    </row>
    <row r="81" spans="1:8" ht="33.75" thickBot="1">
      <c r="A81" s="147" t="s">
        <v>70</v>
      </c>
      <c r="B81" s="147" t="s">
        <v>622</v>
      </c>
      <c r="C81" s="147" t="s">
        <v>623</v>
      </c>
      <c r="D81" s="147" t="s">
        <v>624</v>
      </c>
      <c r="E81" s="147" t="s">
        <v>625</v>
      </c>
      <c r="F81" s="147" t="s">
        <v>875</v>
      </c>
      <c r="G81" s="147" t="s">
        <v>626</v>
      </c>
      <c r="H81" s="147" t="s">
        <v>627</v>
      </c>
    </row>
    <row r="82" spans="1:8" ht="18" thickTop="1" thickBot="1">
      <c r="A82" s="156" t="s">
        <v>628</v>
      </c>
      <c r="B82" s="156">
        <v>17</v>
      </c>
      <c r="C82" s="156">
        <v>15</v>
      </c>
      <c r="D82" s="156">
        <v>0</v>
      </c>
      <c r="E82" s="156">
        <v>0</v>
      </c>
      <c r="F82" s="156">
        <v>2</v>
      </c>
      <c r="G82" s="157">
        <v>1</v>
      </c>
      <c r="H82" s="157">
        <v>1</v>
      </c>
    </row>
    <row r="83" spans="1:8" ht="18" thickTop="1" thickBot="1">
      <c r="A83" s="156" t="s">
        <v>629</v>
      </c>
      <c r="B83" s="156">
        <f>SUM(B82)</f>
        <v>17</v>
      </c>
      <c r="C83" s="156">
        <f t="shared" ref="C83:F83" si="7">SUM(C82)</f>
        <v>15</v>
      </c>
      <c r="D83" s="156">
        <f t="shared" si="7"/>
        <v>0</v>
      </c>
      <c r="E83" s="156">
        <f t="shared" si="7"/>
        <v>0</v>
      </c>
      <c r="F83" s="156">
        <f t="shared" si="7"/>
        <v>2</v>
      </c>
      <c r="G83" s="157">
        <v>1</v>
      </c>
      <c r="H83" s="157">
        <v>1</v>
      </c>
    </row>
    <row r="85" spans="1:8" ht="15.75" thickBot="1">
      <c r="A85" s="340" t="s">
        <v>679</v>
      </c>
    </row>
    <row r="86" spans="1:8" ht="15.75" thickBot="1">
      <c r="A86" s="133" t="s">
        <v>679</v>
      </c>
      <c r="B86" s="134" t="s">
        <v>386</v>
      </c>
      <c r="C86" s="134" t="s">
        <v>387</v>
      </c>
      <c r="D86" s="134" t="s">
        <v>388</v>
      </c>
      <c r="E86" s="134" t="s">
        <v>389</v>
      </c>
      <c r="F86" s="134" t="s">
        <v>877</v>
      </c>
      <c r="G86" s="134" t="s">
        <v>390</v>
      </c>
      <c r="H86" s="134" t="s">
        <v>14</v>
      </c>
    </row>
    <row r="87" spans="1:8" ht="15.75" thickBot="1">
      <c r="A87" s="135" t="s">
        <v>595</v>
      </c>
      <c r="B87" s="136">
        <v>2</v>
      </c>
      <c r="C87" s="136">
        <v>2</v>
      </c>
      <c r="D87" s="136">
        <v>0</v>
      </c>
      <c r="E87" s="136">
        <v>0</v>
      </c>
      <c r="F87" s="136">
        <v>0</v>
      </c>
      <c r="G87" s="139">
        <v>1</v>
      </c>
      <c r="H87" s="137">
        <v>1</v>
      </c>
    </row>
    <row r="88" spans="1:8" ht="15.75" thickBot="1">
      <c r="A88" s="135" t="s">
        <v>596</v>
      </c>
      <c r="B88" s="138">
        <v>6</v>
      </c>
      <c r="C88" s="138">
        <v>0</v>
      </c>
      <c r="D88" s="138">
        <v>0</v>
      </c>
      <c r="E88" s="138">
        <v>0</v>
      </c>
      <c r="F88" s="138">
        <v>6</v>
      </c>
      <c r="G88" s="139">
        <v>1</v>
      </c>
      <c r="H88" s="139">
        <v>1</v>
      </c>
    </row>
    <row r="89" spans="1:8" ht="15.75" thickBot="1">
      <c r="A89" s="135" t="s">
        <v>1</v>
      </c>
      <c r="B89" s="140">
        <f>SUM(B87:B88)</f>
        <v>8</v>
      </c>
      <c r="C89" s="140">
        <f t="shared" ref="C89:F89" si="8">SUM(C87:C88)</f>
        <v>2</v>
      </c>
      <c r="D89" s="140">
        <f t="shared" si="8"/>
        <v>0</v>
      </c>
      <c r="E89" s="140">
        <f t="shared" si="8"/>
        <v>0</v>
      </c>
      <c r="F89" s="140">
        <f t="shared" si="8"/>
        <v>6</v>
      </c>
      <c r="G89" s="141">
        <v>1</v>
      </c>
      <c r="H89" s="141">
        <v>1</v>
      </c>
    </row>
    <row r="91" spans="1:8" ht="15.75" thickBot="1"/>
    <row r="92" spans="1:8" ht="15.75" thickBot="1">
      <c r="A92" s="55" t="s">
        <v>749</v>
      </c>
      <c r="B92" s="56" t="s">
        <v>386</v>
      </c>
      <c r="C92" s="56" t="s">
        <v>387</v>
      </c>
      <c r="D92" s="56" t="s">
        <v>388</v>
      </c>
      <c r="E92" s="56" t="s">
        <v>389</v>
      </c>
      <c r="F92" s="56" t="s">
        <v>875</v>
      </c>
      <c r="G92" s="56" t="s">
        <v>390</v>
      </c>
      <c r="H92" s="56" t="s">
        <v>14</v>
      </c>
    </row>
    <row r="93" spans="1:8" ht="15.75" thickBot="1">
      <c r="A93" s="57" t="s">
        <v>595</v>
      </c>
      <c r="B93" s="58">
        <v>1</v>
      </c>
      <c r="C93" s="58">
        <v>1</v>
      </c>
      <c r="D93" s="58">
        <v>0</v>
      </c>
      <c r="E93" s="58">
        <v>0</v>
      </c>
      <c r="F93" s="58">
        <v>0</v>
      </c>
      <c r="G93" s="59">
        <v>1</v>
      </c>
      <c r="H93" s="60">
        <v>1</v>
      </c>
    </row>
    <row r="94" spans="1:8" ht="15.75" thickBot="1">
      <c r="A94" s="57" t="s">
        <v>596</v>
      </c>
      <c r="B94" s="61">
        <v>10</v>
      </c>
      <c r="C94" s="61">
        <v>0</v>
      </c>
      <c r="D94" s="61">
        <v>0</v>
      </c>
      <c r="E94" s="61">
        <v>0</v>
      </c>
      <c r="F94" s="61">
        <v>10</v>
      </c>
      <c r="G94" s="59">
        <v>1</v>
      </c>
      <c r="H94" s="59">
        <v>1</v>
      </c>
    </row>
    <row r="95" spans="1:8" ht="15.75" thickBot="1">
      <c r="A95" s="57" t="s">
        <v>1</v>
      </c>
      <c r="B95" s="62">
        <f>SUM(B93:B94)</f>
        <v>11</v>
      </c>
      <c r="C95" s="62">
        <f t="shared" ref="C95:F95" si="9">SUM(C93:C94)</f>
        <v>1</v>
      </c>
      <c r="D95" s="62">
        <f t="shared" si="9"/>
        <v>0</v>
      </c>
      <c r="E95" s="62">
        <f t="shared" si="9"/>
        <v>0</v>
      </c>
      <c r="F95" s="62">
        <f t="shared" si="9"/>
        <v>10</v>
      </c>
      <c r="G95" s="63">
        <v>1</v>
      </c>
      <c r="H95" s="63">
        <v>1</v>
      </c>
    </row>
    <row r="96" spans="1:8" ht="15.75" thickBot="1"/>
    <row r="97" spans="1:9" ht="15" customHeight="1">
      <c r="A97" s="476" t="s">
        <v>606</v>
      </c>
      <c r="B97" s="473" t="s">
        <v>607</v>
      </c>
      <c r="C97" s="473" t="s">
        <v>750</v>
      </c>
      <c r="D97" s="473" t="s">
        <v>751</v>
      </c>
      <c r="E97" s="473" t="s">
        <v>752</v>
      </c>
      <c r="F97" s="473" t="s">
        <v>753</v>
      </c>
      <c r="G97" s="473" t="s">
        <v>754</v>
      </c>
      <c r="H97" s="20"/>
      <c r="I97" s="126"/>
    </row>
    <row r="98" spans="1:9" ht="15" customHeight="1">
      <c r="A98" s="477"/>
      <c r="B98" s="474"/>
      <c r="C98" s="474"/>
      <c r="D98" s="474"/>
      <c r="E98" s="474"/>
      <c r="F98" s="474"/>
      <c r="G98" s="474"/>
      <c r="H98" s="20"/>
      <c r="I98" s="20"/>
    </row>
    <row r="99" spans="1:9" ht="15.75" customHeight="1" thickBot="1">
      <c r="A99" s="479"/>
      <c r="B99" s="480"/>
      <c r="C99" s="480"/>
      <c r="D99" s="480"/>
      <c r="E99" s="480"/>
      <c r="F99" s="480"/>
      <c r="G99" s="480"/>
      <c r="H99" s="20"/>
      <c r="I99" s="20"/>
    </row>
    <row r="100" spans="1:9" ht="15.75" thickBot="1">
      <c r="A100" s="311" t="s">
        <v>615</v>
      </c>
      <c r="B100" s="129">
        <v>1</v>
      </c>
      <c r="C100" s="129">
        <v>1</v>
      </c>
      <c r="D100" s="129">
        <v>1</v>
      </c>
      <c r="E100" s="129">
        <v>0</v>
      </c>
      <c r="F100" s="129">
        <v>0</v>
      </c>
      <c r="G100" s="129">
        <v>0</v>
      </c>
      <c r="H100" s="20"/>
      <c r="I100" s="20"/>
    </row>
    <row r="101" spans="1:9" ht="15.75" thickBot="1">
      <c r="A101" s="311" t="s">
        <v>755</v>
      </c>
      <c r="B101" s="300">
        <v>5</v>
      </c>
      <c r="C101" s="300">
        <v>5</v>
      </c>
      <c r="D101" s="300">
        <v>5</v>
      </c>
      <c r="E101" s="300">
        <v>0</v>
      </c>
      <c r="F101" s="300">
        <v>0</v>
      </c>
      <c r="G101" s="300">
        <v>0</v>
      </c>
      <c r="H101" s="20"/>
      <c r="I101" s="20"/>
    </row>
    <row r="102" spans="1:9" ht="15.75" thickBot="1">
      <c r="A102" s="127" t="s">
        <v>1</v>
      </c>
      <c r="B102" s="130">
        <f>SUM(B100:B101)</f>
        <v>6</v>
      </c>
      <c r="C102" s="130">
        <f t="shared" ref="C102:G102" si="10">SUM(C100:C101)</f>
        <v>6</v>
      </c>
      <c r="D102" s="130">
        <f t="shared" si="10"/>
        <v>6</v>
      </c>
      <c r="E102" s="130">
        <f t="shared" si="10"/>
        <v>0</v>
      </c>
      <c r="F102" s="130">
        <f t="shared" si="10"/>
        <v>0</v>
      </c>
      <c r="G102" s="130">
        <f t="shared" si="10"/>
        <v>0</v>
      </c>
      <c r="H102" s="20"/>
      <c r="I102" s="20"/>
    </row>
    <row r="103" spans="1:9">
      <c r="A103" s="132"/>
    </row>
  </sheetData>
  <mergeCells count="20">
    <mergeCell ref="G26:G28"/>
    <mergeCell ref="A97:A99"/>
    <mergeCell ref="B97:B99"/>
    <mergeCell ref="C97:C99"/>
    <mergeCell ref="D97:D99"/>
    <mergeCell ref="E97:E99"/>
    <mergeCell ref="F97:F99"/>
    <mergeCell ref="G97:G99"/>
    <mergeCell ref="A26:A28"/>
    <mergeCell ref="B26:B28"/>
    <mergeCell ref="C26:C28"/>
    <mergeCell ref="D26:D28"/>
    <mergeCell ref="E26:E28"/>
    <mergeCell ref="F26:F28"/>
    <mergeCell ref="F11:F13"/>
    <mergeCell ref="A11:A13"/>
    <mergeCell ref="B11:B13"/>
    <mergeCell ref="C11:C13"/>
    <mergeCell ref="D11:D13"/>
    <mergeCell ref="E11:E13"/>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285E6-6878-4F40-8092-002FD6F37289}">
  <sheetPr codeName="Sheet11">
    <tabColor rgb="FF00B050"/>
  </sheetPr>
  <dimension ref="A1:S20"/>
  <sheetViews>
    <sheetView showGridLines="0" zoomScale="75" zoomScaleNormal="75" workbookViewId="0">
      <selection sqref="A1:S9"/>
    </sheetView>
  </sheetViews>
  <sheetFormatPr defaultColWidth="10.7109375" defaultRowHeight="15"/>
  <cols>
    <col min="1" max="1" width="37.42578125" bestFit="1" customWidth="1"/>
    <col min="2" max="2" width="38.85546875" style="13" bestFit="1" customWidth="1"/>
    <col min="3" max="3" width="11.42578125" bestFit="1" customWidth="1"/>
    <col min="4" max="4" width="19" bestFit="1" customWidth="1"/>
    <col min="5" max="5" width="22.42578125" bestFit="1" customWidth="1"/>
    <col min="6" max="6" width="17.7109375" bestFit="1" customWidth="1"/>
    <col min="7" max="7" width="21.7109375" bestFit="1" customWidth="1"/>
    <col min="8" max="8" width="28.28515625" bestFit="1" customWidth="1"/>
    <col min="9" max="9" width="18.85546875" bestFit="1" customWidth="1"/>
    <col min="10" max="10" width="27.42578125" bestFit="1" customWidth="1"/>
    <col min="11" max="11" width="12.85546875" bestFit="1" customWidth="1"/>
    <col min="12" max="12" width="26.42578125" bestFit="1" customWidth="1"/>
    <col min="13" max="14" width="19" bestFit="1" customWidth="1"/>
    <col min="15" max="15" width="21.140625" bestFit="1" customWidth="1"/>
    <col min="16" max="16" width="12.85546875" bestFit="1" customWidth="1"/>
    <col min="17" max="17" width="19" bestFit="1" customWidth="1"/>
    <col min="18" max="18" width="21.140625" bestFit="1" customWidth="1"/>
    <col min="19" max="19" width="24" bestFit="1" customWidth="1"/>
    <col min="20" max="22" width="12.85546875" bestFit="1" customWidth="1"/>
    <col min="23" max="23" width="12.85546875" customWidth="1"/>
  </cols>
  <sheetData>
    <row r="1" spans="1:19" ht="16.5" thickBot="1">
      <c r="A1" s="484" t="s">
        <v>828</v>
      </c>
      <c r="B1" s="485"/>
      <c r="C1" s="485"/>
      <c r="D1" s="485"/>
      <c r="E1" s="485"/>
      <c r="F1" s="485"/>
      <c r="G1" s="485"/>
      <c r="H1" s="485"/>
      <c r="I1" s="485"/>
      <c r="J1" s="485"/>
      <c r="K1" s="485"/>
      <c r="L1" s="485"/>
      <c r="M1" s="485"/>
      <c r="N1" s="485"/>
      <c r="O1" s="485"/>
      <c r="P1" s="485"/>
      <c r="Q1" s="485"/>
      <c r="R1" s="485"/>
      <c r="S1" s="486"/>
    </row>
    <row r="2" spans="1:19" ht="15.75" thickBot="1">
      <c r="A2" s="481" t="s">
        <v>13</v>
      </c>
      <c r="B2" s="482"/>
      <c r="C2" s="482"/>
      <c r="D2" s="482"/>
      <c r="E2" s="482"/>
      <c r="F2" s="482"/>
      <c r="G2" s="482"/>
      <c r="H2" s="482"/>
      <c r="I2" s="482"/>
      <c r="J2" s="482"/>
      <c r="K2" s="482"/>
      <c r="L2" s="482"/>
      <c r="M2" s="482"/>
      <c r="N2" s="482"/>
      <c r="O2" s="482"/>
      <c r="P2" s="482"/>
      <c r="Q2" s="482"/>
      <c r="R2" s="482"/>
      <c r="S2" s="483"/>
    </row>
    <row r="3" spans="1:19" ht="25.5">
      <c r="A3" s="354" t="s">
        <v>1087</v>
      </c>
      <c r="B3" s="487" t="s">
        <v>98</v>
      </c>
      <c r="C3" s="356" t="s">
        <v>1088</v>
      </c>
      <c r="D3" s="356" t="s">
        <v>1090</v>
      </c>
      <c r="E3" s="356" t="s">
        <v>1090</v>
      </c>
      <c r="F3" s="487" t="s">
        <v>99</v>
      </c>
      <c r="G3" s="487" t="s">
        <v>100</v>
      </c>
      <c r="H3" s="487" t="s">
        <v>101</v>
      </c>
      <c r="I3" s="356" t="s">
        <v>1095</v>
      </c>
      <c r="J3" s="356" t="s">
        <v>1097</v>
      </c>
      <c r="K3" s="356">
        <v>10590</v>
      </c>
      <c r="L3" s="490" t="s">
        <v>549</v>
      </c>
      <c r="M3" s="356" t="s">
        <v>1100</v>
      </c>
      <c r="N3" s="490" t="s">
        <v>550</v>
      </c>
      <c r="O3" s="490" t="s">
        <v>551</v>
      </c>
      <c r="P3" s="490" t="s">
        <v>676</v>
      </c>
      <c r="Q3" s="490" t="s">
        <v>677</v>
      </c>
      <c r="R3" s="359" t="s">
        <v>1102</v>
      </c>
      <c r="S3" s="359" t="s">
        <v>1104</v>
      </c>
    </row>
    <row r="4" spans="1:19">
      <c r="A4" s="354" t="s">
        <v>765</v>
      </c>
      <c r="B4" s="488"/>
      <c r="C4" s="356" t="s">
        <v>1089</v>
      </c>
      <c r="D4" s="356" t="s">
        <v>1091</v>
      </c>
      <c r="E4" s="356" t="s">
        <v>1093</v>
      </c>
      <c r="F4" s="488"/>
      <c r="G4" s="488"/>
      <c r="H4" s="488"/>
      <c r="I4" s="356" t="s">
        <v>1096</v>
      </c>
      <c r="J4" s="356" t="s">
        <v>1098</v>
      </c>
      <c r="K4" s="356" t="s">
        <v>1099</v>
      </c>
      <c r="L4" s="491"/>
      <c r="M4" s="356" t="s">
        <v>1101</v>
      </c>
      <c r="N4" s="491"/>
      <c r="O4" s="491"/>
      <c r="P4" s="491"/>
      <c r="Q4" s="491"/>
      <c r="R4" s="359" t="s">
        <v>1103</v>
      </c>
      <c r="S4" s="359" t="s">
        <v>1103</v>
      </c>
    </row>
    <row r="5" spans="1:19" ht="15.75" thickBot="1">
      <c r="A5" s="355"/>
      <c r="B5" s="489"/>
      <c r="C5" s="357"/>
      <c r="D5" s="358" t="s">
        <v>1092</v>
      </c>
      <c r="E5" s="358" t="s">
        <v>1094</v>
      </c>
      <c r="F5" s="489"/>
      <c r="G5" s="489"/>
      <c r="H5" s="489"/>
      <c r="I5" s="357"/>
      <c r="J5" s="357"/>
      <c r="K5" s="357"/>
      <c r="L5" s="492"/>
      <c r="M5" s="357"/>
      <c r="N5" s="492"/>
      <c r="O5" s="492"/>
      <c r="P5" s="492"/>
      <c r="Q5" s="492"/>
      <c r="R5" s="360"/>
      <c r="S5" s="360"/>
    </row>
    <row r="6" spans="1:19" ht="15.75" thickBot="1">
      <c r="A6" s="361" t="s">
        <v>678</v>
      </c>
      <c r="B6" s="362">
        <v>0</v>
      </c>
      <c r="C6" s="363">
        <v>48</v>
      </c>
      <c r="D6" s="363">
        <v>16</v>
      </c>
      <c r="E6" s="363">
        <v>63</v>
      </c>
      <c r="F6" s="363">
        <v>36</v>
      </c>
      <c r="G6" s="363">
        <v>53</v>
      </c>
      <c r="H6" s="362">
        <v>0</v>
      </c>
      <c r="I6" s="362">
        <v>0</v>
      </c>
      <c r="J6" s="362">
        <v>1617</v>
      </c>
      <c r="K6" s="362">
        <v>8</v>
      </c>
      <c r="L6" s="362">
        <v>0</v>
      </c>
      <c r="M6" s="362">
        <v>98</v>
      </c>
      <c r="N6" s="362">
        <v>22</v>
      </c>
      <c r="O6" s="362">
        <v>24</v>
      </c>
      <c r="P6" s="362">
        <v>0</v>
      </c>
      <c r="Q6" s="362">
        <v>194</v>
      </c>
      <c r="R6" s="364">
        <v>2179</v>
      </c>
      <c r="S6" s="365">
        <v>11</v>
      </c>
    </row>
    <row r="7" spans="1:19" ht="15.75" thickBot="1">
      <c r="A7" s="361" t="s">
        <v>684</v>
      </c>
      <c r="B7" s="363">
        <v>320</v>
      </c>
      <c r="C7" s="362">
        <v>8</v>
      </c>
      <c r="D7" s="362">
        <v>3</v>
      </c>
      <c r="E7" s="362">
        <v>13</v>
      </c>
      <c r="F7" s="362">
        <v>0</v>
      </c>
      <c r="G7" s="362">
        <v>0</v>
      </c>
      <c r="H7" s="363">
        <v>10</v>
      </c>
      <c r="I7" s="363">
        <v>633</v>
      </c>
      <c r="J7" s="362">
        <v>0</v>
      </c>
      <c r="K7" s="362">
        <v>0</v>
      </c>
      <c r="L7" s="363">
        <v>7430</v>
      </c>
      <c r="M7" s="362">
        <v>0</v>
      </c>
      <c r="N7" s="362">
        <v>17</v>
      </c>
      <c r="O7" s="362">
        <v>13</v>
      </c>
      <c r="P7" s="362">
        <v>60</v>
      </c>
      <c r="Q7" s="362">
        <v>131</v>
      </c>
      <c r="R7" s="364">
        <v>8638</v>
      </c>
      <c r="S7" s="365">
        <v>11</v>
      </c>
    </row>
    <row r="8" spans="1:19" ht="15.75" thickBot="1">
      <c r="A8" s="361" t="s">
        <v>1068</v>
      </c>
      <c r="B8" s="362">
        <v>0</v>
      </c>
      <c r="C8" s="362">
        <v>0</v>
      </c>
      <c r="D8" s="362">
        <v>0</v>
      </c>
      <c r="E8" s="362">
        <v>0</v>
      </c>
      <c r="F8" s="362">
        <v>1</v>
      </c>
      <c r="G8" s="362">
        <v>0</v>
      </c>
      <c r="H8" s="363">
        <v>10</v>
      </c>
      <c r="I8" s="362">
        <v>589</v>
      </c>
      <c r="J8" s="362">
        <v>219</v>
      </c>
      <c r="K8" s="362">
        <v>0</v>
      </c>
      <c r="L8" s="362">
        <v>0</v>
      </c>
      <c r="M8" s="362">
        <v>0</v>
      </c>
      <c r="N8" s="362">
        <v>0</v>
      </c>
      <c r="O8" s="362">
        <v>0</v>
      </c>
      <c r="P8" s="362">
        <v>0</v>
      </c>
      <c r="Q8" s="362">
        <v>0</v>
      </c>
      <c r="R8" s="364">
        <v>819</v>
      </c>
      <c r="S8" s="364">
        <v>4</v>
      </c>
    </row>
    <row r="9" spans="1:19" ht="15.75" thickBot="1">
      <c r="A9" s="366" t="s">
        <v>9</v>
      </c>
      <c r="B9" s="367">
        <v>320</v>
      </c>
      <c r="C9" s="367">
        <v>56</v>
      </c>
      <c r="D9" s="367">
        <v>19</v>
      </c>
      <c r="E9" s="367">
        <v>76</v>
      </c>
      <c r="F9" s="367">
        <v>36</v>
      </c>
      <c r="G9" s="367">
        <v>53</v>
      </c>
      <c r="H9" s="367">
        <v>10</v>
      </c>
      <c r="I9" s="367">
        <v>633</v>
      </c>
      <c r="J9" s="367">
        <v>1617</v>
      </c>
      <c r="K9" s="367">
        <v>8</v>
      </c>
      <c r="L9" s="367">
        <v>7430</v>
      </c>
      <c r="M9" s="367">
        <v>98</v>
      </c>
      <c r="N9" s="367">
        <v>39</v>
      </c>
      <c r="O9" s="367">
        <v>37</v>
      </c>
      <c r="P9" s="367">
        <v>60</v>
      </c>
      <c r="Q9" s="367">
        <v>325</v>
      </c>
      <c r="R9" s="367">
        <v>11636</v>
      </c>
      <c r="S9" s="367">
        <v>26</v>
      </c>
    </row>
    <row r="10" spans="1:19">
      <c r="A10" s="439" t="s">
        <v>829</v>
      </c>
      <c r="B10" s="439"/>
      <c r="C10" s="439"/>
      <c r="D10" s="439"/>
      <c r="E10" s="439"/>
      <c r="F10" s="439"/>
      <c r="G10" s="439"/>
      <c r="H10" s="439"/>
      <c r="I10" s="439"/>
      <c r="J10" s="439"/>
      <c r="K10" s="439"/>
      <c r="L10" s="439"/>
      <c r="M10" s="439"/>
      <c r="N10" s="439"/>
      <c r="O10" s="439"/>
      <c r="P10" s="439"/>
      <c r="Q10" s="439"/>
      <c r="R10" s="439"/>
      <c r="S10" s="439"/>
    </row>
    <row r="11" spans="1:19">
      <c r="A11" s="440" t="s">
        <v>487</v>
      </c>
      <c r="B11" s="440"/>
      <c r="C11" s="440"/>
      <c r="D11" s="440"/>
      <c r="E11" s="440"/>
      <c r="F11" s="440"/>
      <c r="G11" s="440"/>
      <c r="H11" s="440"/>
      <c r="I11" s="440"/>
      <c r="J11" s="440"/>
      <c r="K11" s="440"/>
      <c r="L11" s="440"/>
      <c r="M11" s="440"/>
      <c r="N11" s="440"/>
      <c r="O11" s="440"/>
      <c r="P11" s="440"/>
      <c r="Q11" s="440"/>
      <c r="R11" s="440"/>
      <c r="S11" s="440"/>
    </row>
    <row r="12" spans="1:19">
      <c r="A12" s="116" t="s">
        <v>87</v>
      </c>
      <c r="B12" s="117" t="s">
        <v>32</v>
      </c>
      <c r="C12" s="117" t="s">
        <v>10</v>
      </c>
      <c r="D12" s="117" t="s">
        <v>45</v>
      </c>
      <c r="E12" s="117" t="s">
        <v>1067</v>
      </c>
      <c r="F12" s="117" t="s">
        <v>46</v>
      </c>
      <c r="G12" s="117" t="s">
        <v>148</v>
      </c>
      <c r="H12" s="117" t="s">
        <v>333</v>
      </c>
      <c r="I12" s="117" t="s">
        <v>334</v>
      </c>
      <c r="J12" s="117" t="s">
        <v>335</v>
      </c>
      <c r="K12" s="117" t="s">
        <v>488</v>
      </c>
      <c r="L12" s="117" t="s">
        <v>489</v>
      </c>
      <c r="M12" s="117" t="s">
        <v>598</v>
      </c>
      <c r="N12" s="117" t="s">
        <v>599</v>
      </c>
      <c r="O12" s="117" t="s">
        <v>600</v>
      </c>
      <c r="P12" s="117" t="s">
        <v>20</v>
      </c>
      <c r="Q12" s="117" t="s">
        <v>490</v>
      </c>
      <c r="R12" s="117" t="s">
        <v>491</v>
      </c>
      <c r="S12" s="117" t="s">
        <v>492</v>
      </c>
    </row>
    <row r="13" spans="1:19">
      <c r="A13" s="110" t="s">
        <v>493</v>
      </c>
      <c r="B13" s="17">
        <v>0</v>
      </c>
      <c r="C13" s="2">
        <v>0</v>
      </c>
      <c r="D13" s="17">
        <v>0</v>
      </c>
      <c r="E13" s="17">
        <v>0</v>
      </c>
      <c r="F13" s="17">
        <v>0</v>
      </c>
      <c r="G13" s="17">
        <v>0</v>
      </c>
      <c r="H13" s="17">
        <v>0</v>
      </c>
      <c r="I13" s="17">
        <v>0</v>
      </c>
      <c r="J13" s="17">
        <v>19</v>
      </c>
      <c r="K13" s="17">
        <v>0</v>
      </c>
      <c r="L13" s="17">
        <v>20</v>
      </c>
      <c r="M13" s="17">
        <v>0</v>
      </c>
      <c r="N13" s="17">
        <v>0</v>
      </c>
      <c r="O13" s="17">
        <v>0</v>
      </c>
      <c r="P13" s="18">
        <v>39</v>
      </c>
      <c r="Q13" s="18">
        <v>2</v>
      </c>
      <c r="R13" s="18">
        <v>0</v>
      </c>
      <c r="S13" s="18">
        <v>0</v>
      </c>
    </row>
    <row r="14" spans="1:19">
      <c r="A14" s="110" t="s">
        <v>494</v>
      </c>
      <c r="B14" s="17">
        <v>64</v>
      </c>
      <c r="C14" s="2">
        <v>852</v>
      </c>
      <c r="D14" s="17">
        <v>5</v>
      </c>
      <c r="E14" s="17">
        <v>519</v>
      </c>
      <c r="F14" s="17">
        <v>1</v>
      </c>
      <c r="G14" s="17">
        <v>0</v>
      </c>
      <c r="H14" s="17">
        <v>15</v>
      </c>
      <c r="I14" s="17">
        <v>0</v>
      </c>
      <c r="J14" s="17">
        <v>0</v>
      </c>
      <c r="K14" s="17">
        <v>0</v>
      </c>
      <c r="L14" s="17">
        <v>0</v>
      </c>
      <c r="M14" s="17">
        <v>0</v>
      </c>
      <c r="N14" s="17">
        <v>8</v>
      </c>
      <c r="O14" s="17">
        <v>0</v>
      </c>
      <c r="P14" s="18">
        <v>1464</v>
      </c>
      <c r="Q14" s="18">
        <v>7</v>
      </c>
      <c r="R14" s="18">
        <v>29</v>
      </c>
      <c r="S14" s="18">
        <v>30</v>
      </c>
    </row>
    <row r="15" spans="1:19">
      <c r="A15" s="110" t="s">
        <v>495</v>
      </c>
      <c r="B15" s="17">
        <v>0</v>
      </c>
      <c r="C15" s="2">
        <v>0</v>
      </c>
      <c r="D15" s="17">
        <v>3</v>
      </c>
      <c r="E15" s="17">
        <v>741</v>
      </c>
      <c r="F15" s="17">
        <v>1</v>
      </c>
      <c r="G15" s="17">
        <v>191</v>
      </c>
      <c r="H15" s="17">
        <v>128</v>
      </c>
      <c r="I15" s="17">
        <v>48</v>
      </c>
      <c r="J15" s="17">
        <v>0</v>
      </c>
      <c r="K15" s="17">
        <v>18</v>
      </c>
      <c r="L15" s="17">
        <v>0</v>
      </c>
      <c r="M15" s="17">
        <v>0</v>
      </c>
      <c r="N15" s="17">
        <v>8</v>
      </c>
      <c r="O15" s="17">
        <v>0</v>
      </c>
      <c r="P15" s="18">
        <v>1138</v>
      </c>
      <c r="Q15" s="18">
        <v>8</v>
      </c>
      <c r="R15" s="18">
        <v>0</v>
      </c>
      <c r="S15" s="18">
        <v>0</v>
      </c>
    </row>
    <row r="16" spans="1:19">
      <c r="A16" s="110" t="s">
        <v>496</v>
      </c>
      <c r="B16" s="17">
        <v>63</v>
      </c>
      <c r="C16" s="2">
        <v>638</v>
      </c>
      <c r="D16" s="17">
        <v>2</v>
      </c>
      <c r="E16" s="17">
        <v>850</v>
      </c>
      <c r="F16" s="17">
        <v>1</v>
      </c>
      <c r="G16" s="17">
        <v>0</v>
      </c>
      <c r="H16" s="17">
        <v>0</v>
      </c>
      <c r="I16" s="17">
        <v>0</v>
      </c>
      <c r="J16" s="17">
        <v>0</v>
      </c>
      <c r="K16" s="17">
        <v>0</v>
      </c>
      <c r="L16" s="17">
        <v>0</v>
      </c>
      <c r="M16" s="17">
        <v>0</v>
      </c>
      <c r="N16" s="17">
        <v>7</v>
      </c>
      <c r="O16" s="17">
        <v>0</v>
      </c>
      <c r="P16" s="18">
        <v>1561</v>
      </c>
      <c r="Q16" s="18">
        <v>6</v>
      </c>
      <c r="R16" s="18">
        <v>29</v>
      </c>
      <c r="S16" s="18">
        <v>30</v>
      </c>
    </row>
    <row r="17" spans="1:19">
      <c r="A17" s="110" t="s">
        <v>497</v>
      </c>
      <c r="B17" s="17">
        <v>66</v>
      </c>
      <c r="C17" s="2">
        <v>546</v>
      </c>
      <c r="D17" s="17">
        <v>0</v>
      </c>
      <c r="E17" s="17">
        <v>879</v>
      </c>
      <c r="F17" s="17">
        <v>5</v>
      </c>
      <c r="G17" s="17">
        <v>0</v>
      </c>
      <c r="H17" s="17">
        <v>0</v>
      </c>
      <c r="I17" s="17">
        <v>0</v>
      </c>
      <c r="J17" s="17">
        <v>0</v>
      </c>
      <c r="K17" s="17">
        <v>0</v>
      </c>
      <c r="L17" s="17">
        <v>0</v>
      </c>
      <c r="M17" s="17">
        <v>0</v>
      </c>
      <c r="N17" s="17">
        <v>8</v>
      </c>
      <c r="O17" s="17">
        <v>0</v>
      </c>
      <c r="P17" s="18">
        <v>1504</v>
      </c>
      <c r="Q17" s="18">
        <v>5</v>
      </c>
      <c r="R17" s="18">
        <v>30</v>
      </c>
      <c r="S17" s="18">
        <v>30</v>
      </c>
    </row>
    <row r="18" spans="1:19">
      <c r="A18" s="110" t="s">
        <v>498</v>
      </c>
      <c r="B18" s="17">
        <v>77</v>
      </c>
      <c r="C18" s="2">
        <v>988</v>
      </c>
      <c r="D18" s="17">
        <v>9</v>
      </c>
      <c r="E18" s="17">
        <v>672</v>
      </c>
      <c r="F18" s="17">
        <v>1</v>
      </c>
      <c r="G18" s="17">
        <v>0</v>
      </c>
      <c r="H18" s="17">
        <v>0</v>
      </c>
      <c r="I18" s="17">
        <v>0</v>
      </c>
      <c r="J18" s="17">
        <v>0</v>
      </c>
      <c r="K18" s="17">
        <v>0</v>
      </c>
      <c r="L18" s="17">
        <v>0</v>
      </c>
      <c r="M18" s="17">
        <v>38</v>
      </c>
      <c r="N18" s="17">
        <v>7</v>
      </c>
      <c r="O18" s="17">
        <v>0</v>
      </c>
      <c r="P18" s="18">
        <v>1792</v>
      </c>
      <c r="Q18" s="18">
        <v>7</v>
      </c>
      <c r="R18" s="18">
        <v>30</v>
      </c>
      <c r="S18" s="18">
        <v>30</v>
      </c>
    </row>
    <row r="19" spans="1:19">
      <c r="A19" s="110" t="s">
        <v>499</v>
      </c>
      <c r="B19" s="17">
        <v>36</v>
      </c>
      <c r="C19" s="2">
        <v>447</v>
      </c>
      <c r="D19" s="17">
        <v>5</v>
      </c>
      <c r="E19" s="17">
        <v>450</v>
      </c>
      <c r="F19" s="17">
        <v>1</v>
      </c>
      <c r="G19" s="17">
        <v>0</v>
      </c>
      <c r="H19" s="17">
        <v>0</v>
      </c>
      <c r="I19" s="17">
        <v>0</v>
      </c>
      <c r="J19" s="17">
        <v>0</v>
      </c>
      <c r="K19" s="17">
        <v>0</v>
      </c>
      <c r="L19" s="17">
        <v>0</v>
      </c>
      <c r="M19" s="17">
        <v>38</v>
      </c>
      <c r="N19" s="17">
        <v>7</v>
      </c>
      <c r="O19" s="17">
        <v>0</v>
      </c>
      <c r="P19" s="18">
        <v>984</v>
      </c>
      <c r="Q19" s="18">
        <v>7</v>
      </c>
      <c r="R19" s="18">
        <v>26</v>
      </c>
      <c r="S19" s="18">
        <v>29</v>
      </c>
    </row>
    <row r="20" spans="1:19">
      <c r="A20" s="116" t="s">
        <v>9</v>
      </c>
      <c r="B20" s="117">
        <v>306</v>
      </c>
      <c r="C20" s="117">
        <v>3471</v>
      </c>
      <c r="D20" s="117">
        <v>24</v>
      </c>
      <c r="E20" s="117">
        <v>4111</v>
      </c>
      <c r="F20" s="117">
        <v>10</v>
      </c>
      <c r="G20" s="117">
        <v>191</v>
      </c>
      <c r="H20" s="117">
        <v>143</v>
      </c>
      <c r="I20" s="117">
        <v>48</v>
      </c>
      <c r="J20" s="117">
        <v>19</v>
      </c>
      <c r="K20" s="117">
        <v>18</v>
      </c>
      <c r="L20" s="117">
        <v>20</v>
      </c>
      <c r="M20" s="117">
        <v>76</v>
      </c>
      <c r="N20" s="117">
        <v>45</v>
      </c>
      <c r="O20" s="117">
        <v>0</v>
      </c>
      <c r="P20" s="117">
        <v>8482</v>
      </c>
      <c r="Q20" s="117">
        <v>42</v>
      </c>
      <c r="R20" s="117">
        <v>144</v>
      </c>
      <c r="S20" s="117">
        <v>149</v>
      </c>
    </row>
  </sheetData>
  <mergeCells count="13">
    <mergeCell ref="A11:S11"/>
    <mergeCell ref="A2:S2"/>
    <mergeCell ref="A10:S10"/>
    <mergeCell ref="A1:S1"/>
    <mergeCell ref="B3:B5"/>
    <mergeCell ref="F3:F5"/>
    <mergeCell ref="G3:G5"/>
    <mergeCell ref="H3:H5"/>
    <mergeCell ref="L3:L5"/>
    <mergeCell ref="N3:N5"/>
    <mergeCell ref="O3:O5"/>
    <mergeCell ref="P3:P5"/>
    <mergeCell ref="Q3:Q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67C9E-DDD9-498D-AA4D-7F8765D3369C}">
  <dimension ref="A1:N13"/>
  <sheetViews>
    <sheetView topLeftCell="E1" zoomScale="75" zoomScaleNormal="75" workbookViewId="0">
      <selection activeCell="M2" sqref="M2:M13"/>
    </sheetView>
  </sheetViews>
  <sheetFormatPr defaultRowHeight="78" customHeight="1"/>
  <cols>
    <col min="1" max="1" width="10.140625" bestFit="1" customWidth="1"/>
    <col min="2" max="2" width="21.5703125" bestFit="1" customWidth="1"/>
    <col min="3" max="3" width="21.85546875" customWidth="1"/>
    <col min="4" max="4" width="16.5703125" style="3" customWidth="1"/>
    <col min="5" max="5" width="31.140625" customWidth="1"/>
    <col min="6" max="6" width="26.42578125" customWidth="1"/>
    <col min="7" max="7" width="11.140625" style="3" customWidth="1"/>
    <col min="8" max="8" width="9.140625" customWidth="1"/>
    <col min="9" max="9" width="13.28515625" bestFit="1" customWidth="1"/>
    <col min="11" max="11" width="11.42578125" bestFit="1" customWidth="1"/>
  </cols>
  <sheetData>
    <row r="1" spans="1:14" ht="78" customHeight="1">
      <c r="A1" s="41" t="s">
        <v>294</v>
      </c>
      <c r="B1" s="41" t="s">
        <v>70</v>
      </c>
      <c r="C1" s="41" t="s">
        <v>295</v>
      </c>
      <c r="D1" s="41" t="s">
        <v>296</v>
      </c>
      <c r="E1" s="41" t="s">
        <v>297</v>
      </c>
      <c r="F1" s="41" t="s">
        <v>298</v>
      </c>
      <c r="G1" s="41" t="s">
        <v>235</v>
      </c>
      <c r="H1" s="41" t="s">
        <v>64</v>
      </c>
      <c r="I1" s="41" t="s">
        <v>86</v>
      </c>
      <c r="J1" s="41" t="s">
        <v>89</v>
      </c>
      <c r="K1" s="41" t="s">
        <v>97</v>
      </c>
      <c r="L1" s="41" t="s">
        <v>125</v>
      </c>
      <c r="M1" s="41" t="s">
        <v>55</v>
      </c>
    </row>
    <row r="2" spans="1:14" ht="78" customHeight="1">
      <c r="A2" s="379"/>
      <c r="B2" s="69" t="s">
        <v>3</v>
      </c>
      <c r="C2" s="42" t="s">
        <v>299</v>
      </c>
      <c r="D2" s="42" t="s">
        <v>300</v>
      </c>
      <c r="E2" s="42" t="s">
        <v>301</v>
      </c>
      <c r="F2" s="42" t="s">
        <v>302</v>
      </c>
      <c r="G2" s="44">
        <v>0.95</v>
      </c>
      <c r="H2" s="45">
        <v>0.87388987566607457</v>
      </c>
      <c r="I2" s="45">
        <v>0.94162826420890933</v>
      </c>
      <c r="J2" s="45">
        <v>0.90791366906474824</v>
      </c>
      <c r="K2" s="45">
        <v>0.91320000000000001</v>
      </c>
      <c r="L2" s="45">
        <f>'[1]Central Services'!B7/'[1]Central Services'!B10</f>
        <v>0.94036697247706424</v>
      </c>
      <c r="M2" s="45">
        <f>1-('Lot Wash'!B7/'Lot Wash'!B8)</f>
        <v>0.95486935866983369</v>
      </c>
    </row>
    <row r="3" spans="1:14" ht="78" customHeight="1">
      <c r="A3" s="379"/>
      <c r="B3" s="69" t="s">
        <v>2</v>
      </c>
      <c r="C3" s="42" t="s">
        <v>303</v>
      </c>
      <c r="D3" s="42" t="s">
        <v>300</v>
      </c>
      <c r="E3" s="42" t="s">
        <v>301</v>
      </c>
      <c r="F3" s="42" t="s">
        <v>302</v>
      </c>
      <c r="G3" s="44">
        <v>0.95</v>
      </c>
      <c r="H3" s="44">
        <v>1</v>
      </c>
      <c r="I3" s="44">
        <v>1</v>
      </c>
      <c r="J3" s="44">
        <v>1</v>
      </c>
      <c r="K3" s="44">
        <f>'[1]2024'!E4/'[1]2024'!E4</f>
        <v>1</v>
      </c>
      <c r="L3" s="53">
        <f>([1]AP!B24-[1]AP!B25)/[1]AP!B23</f>
        <v>0.97214076246334313</v>
      </c>
      <c r="M3" s="53">
        <f>1-(AP!B25/AP!B24)</f>
        <v>0.95809523809523811</v>
      </c>
    </row>
    <row r="4" spans="1:14" ht="78" customHeight="1">
      <c r="A4" s="379"/>
      <c r="B4" s="380" t="s">
        <v>304</v>
      </c>
      <c r="C4" s="379" t="s">
        <v>305</v>
      </c>
      <c r="D4" s="379" t="s">
        <v>300</v>
      </c>
      <c r="E4" s="48" t="s">
        <v>306</v>
      </c>
      <c r="F4" s="42" t="s">
        <v>307</v>
      </c>
      <c r="G4" s="46" t="s">
        <v>308</v>
      </c>
      <c r="H4" s="47">
        <v>19.081879446779535</v>
      </c>
      <c r="I4" s="47">
        <v>19.016780283167279</v>
      </c>
      <c r="J4" s="26">
        <v>19.166160563334046</v>
      </c>
      <c r="K4" s="26">
        <f>'[1]Silver Rock'!H125</f>
        <v>18.023662939775345</v>
      </c>
      <c r="L4" s="26">
        <f>'[1]Silver Rock'!I125</f>
        <v>17.278367268245326</v>
      </c>
      <c r="M4" s="26">
        <f>'Silver Rock'!J125</f>
        <v>19.133932796971131</v>
      </c>
    </row>
    <row r="5" spans="1:14" ht="78" customHeight="1">
      <c r="A5" s="379"/>
      <c r="B5" s="380"/>
      <c r="C5" s="379"/>
      <c r="D5" s="379"/>
      <c r="E5" s="48" t="s">
        <v>309</v>
      </c>
      <c r="F5" s="42" t="s">
        <v>310</v>
      </c>
      <c r="G5" s="43">
        <v>1</v>
      </c>
      <c r="H5" s="43">
        <v>1.0601044137099742</v>
      </c>
      <c r="I5" s="43">
        <v>1.0564877935092933</v>
      </c>
      <c r="J5" s="52">
        <v>1.0647866979630025</v>
      </c>
      <c r="K5" s="52">
        <f>'[1]Silver Rock'!H128</f>
        <v>1.001314607765297</v>
      </c>
      <c r="L5" s="52">
        <f>'[1]Silver Rock'!I128</f>
        <v>0.9599092926802959</v>
      </c>
      <c r="M5" s="52">
        <f>'Silver Rock'!J128</f>
        <v>1.0629962664983961</v>
      </c>
    </row>
    <row r="6" spans="1:14" ht="78" customHeight="1">
      <c r="A6" s="379" t="s">
        <v>311</v>
      </c>
      <c r="B6" s="380" t="s">
        <v>4</v>
      </c>
      <c r="C6" s="379" t="s">
        <v>312</v>
      </c>
      <c r="D6" s="379" t="s">
        <v>300</v>
      </c>
      <c r="E6" s="48" t="s">
        <v>313</v>
      </c>
      <c r="F6" s="379" t="s">
        <v>314</v>
      </c>
      <c r="G6" s="381">
        <v>0.99</v>
      </c>
      <c r="H6" s="44">
        <v>1</v>
      </c>
      <c r="I6" s="44">
        <v>1</v>
      </c>
      <c r="J6" s="44">
        <v>1</v>
      </c>
      <c r="K6" s="44">
        <f>'[1]2024'!B12/'[1]2024'!B12</f>
        <v>1</v>
      </c>
      <c r="L6" s="44">
        <f>'[1]2024'!F12/'[1]2024'!F12</f>
        <v>1</v>
      </c>
      <c r="M6" s="44">
        <f>'2024'!G13/'2024'!G13</f>
        <v>1</v>
      </c>
    </row>
    <row r="7" spans="1:14" ht="78" customHeight="1">
      <c r="A7" s="379"/>
      <c r="B7" s="380"/>
      <c r="C7" s="379"/>
      <c r="D7" s="379"/>
      <c r="E7" s="48" t="s">
        <v>315</v>
      </c>
      <c r="F7" s="379"/>
      <c r="G7" s="381"/>
      <c r="H7" s="45">
        <v>1</v>
      </c>
      <c r="I7" s="45">
        <v>0.99009999999999998</v>
      </c>
      <c r="J7" s="160">
        <v>0.99848254931714719</v>
      </c>
      <c r="K7" s="160">
        <f>'[1]2024'!Q12</f>
        <v>0.99839228295819937</v>
      </c>
      <c r="L7" s="160">
        <f>'[1]2024'!F12/'[1]2024'!F12</f>
        <v>1</v>
      </c>
      <c r="M7" s="44">
        <f>'2024'!G14/'2024'!G14</f>
        <v>1</v>
      </c>
    </row>
    <row r="8" spans="1:14" ht="78" customHeight="1">
      <c r="A8" s="379"/>
      <c r="B8" s="69" t="s">
        <v>5</v>
      </c>
      <c r="C8" s="42" t="s">
        <v>316</v>
      </c>
      <c r="D8" s="42" t="s">
        <v>300</v>
      </c>
      <c r="E8" s="42" t="s">
        <v>317</v>
      </c>
      <c r="F8" s="42" t="s">
        <v>318</v>
      </c>
      <c r="G8" s="44">
        <v>0.95</v>
      </c>
      <c r="H8" s="49">
        <v>0.99883177570093462</v>
      </c>
      <c r="I8" s="49">
        <v>1</v>
      </c>
      <c r="J8" s="49">
        <v>0.99469111969111967</v>
      </c>
      <c r="K8" s="49">
        <f>[1]AR!B27/[1]AR!B27</f>
        <v>1</v>
      </c>
      <c r="L8" s="53">
        <f>([1]AR!B27-2)/[1]AR!B27</f>
        <v>0.99916107382550334</v>
      </c>
      <c r="M8" s="53">
        <f>1-(AR!C23/AR!C21)</f>
        <v>0.99402298850574711</v>
      </c>
    </row>
    <row r="9" spans="1:14" ht="78" customHeight="1">
      <c r="A9" s="379"/>
      <c r="B9" s="69" t="s">
        <v>23</v>
      </c>
      <c r="C9" s="42" t="s">
        <v>319</v>
      </c>
      <c r="D9" s="42" t="s">
        <v>300</v>
      </c>
      <c r="E9" s="42" t="s">
        <v>320</v>
      </c>
      <c r="F9" s="42" t="s">
        <v>314</v>
      </c>
      <c r="G9" s="44">
        <v>0.95</v>
      </c>
      <c r="H9" s="43">
        <v>1</v>
      </c>
      <c r="I9" s="50">
        <v>1</v>
      </c>
      <c r="J9" s="50">
        <v>1</v>
      </c>
      <c r="K9" s="50">
        <f>'[1]2024'!B16/'[1]2024'!B16</f>
        <v>1</v>
      </c>
      <c r="L9" s="50">
        <f>'[1]2024'!F16/'[1]2024'!F16</f>
        <v>1</v>
      </c>
      <c r="M9" s="50">
        <f>'2024'!G16/'2024'!G16</f>
        <v>1</v>
      </c>
      <c r="N9" s="350"/>
    </row>
    <row r="10" spans="1:14" ht="78" customHeight="1">
      <c r="A10" s="379" t="s">
        <v>321</v>
      </c>
      <c r="B10" s="380" t="s">
        <v>322</v>
      </c>
      <c r="C10" s="379" t="s">
        <v>323</v>
      </c>
      <c r="D10" s="379" t="s">
        <v>300</v>
      </c>
      <c r="E10" s="48" t="s">
        <v>324</v>
      </c>
      <c r="F10" s="379" t="s">
        <v>325</v>
      </c>
      <c r="G10" s="52">
        <v>1</v>
      </c>
      <c r="H10" s="43">
        <v>1</v>
      </c>
      <c r="I10" s="43">
        <v>1</v>
      </c>
      <c r="J10" s="43">
        <v>1</v>
      </c>
      <c r="K10" s="43">
        <f>265/265</f>
        <v>1</v>
      </c>
      <c r="L10" s="43">
        <f>[1]GA!J9/[1]GA!J9</f>
        <v>1</v>
      </c>
      <c r="M10" s="50">
        <v>1</v>
      </c>
    </row>
    <row r="11" spans="1:14" ht="78" customHeight="1">
      <c r="A11" s="379"/>
      <c r="B11" s="380"/>
      <c r="C11" s="379"/>
      <c r="D11" s="379"/>
      <c r="E11" s="48" t="s">
        <v>326</v>
      </c>
      <c r="F11" s="379"/>
      <c r="G11" s="43">
        <v>0.98</v>
      </c>
      <c r="H11" s="43">
        <v>1</v>
      </c>
      <c r="I11" s="43">
        <v>1</v>
      </c>
      <c r="J11" s="43">
        <v>1</v>
      </c>
      <c r="K11" s="43">
        <f>265/265</f>
        <v>1</v>
      </c>
      <c r="L11" s="43">
        <f>[1]GA!J10/[1]GA!J10</f>
        <v>1</v>
      </c>
      <c r="M11" s="50">
        <v>1</v>
      </c>
    </row>
    <row r="12" spans="1:14" ht="78" customHeight="1">
      <c r="A12" s="379" t="s">
        <v>327</v>
      </c>
      <c r="B12" s="380" t="s">
        <v>22</v>
      </c>
      <c r="C12" s="379" t="s">
        <v>328</v>
      </c>
      <c r="D12" s="379" t="s">
        <v>300</v>
      </c>
      <c r="E12" s="48" t="s">
        <v>329</v>
      </c>
      <c r="F12" s="379" t="s">
        <v>330</v>
      </c>
      <c r="G12" s="43">
        <v>0.95</v>
      </c>
      <c r="H12" s="44">
        <v>1</v>
      </c>
      <c r="I12" s="45">
        <v>1</v>
      </c>
      <c r="J12" s="160">
        <v>1</v>
      </c>
      <c r="K12" s="160">
        <v>1</v>
      </c>
      <c r="L12" s="160">
        <v>1</v>
      </c>
      <c r="M12" s="160">
        <v>1</v>
      </c>
    </row>
    <row r="13" spans="1:14" ht="78" customHeight="1">
      <c r="A13" s="379"/>
      <c r="B13" s="380"/>
      <c r="C13" s="379"/>
      <c r="D13" s="379"/>
      <c r="E13" s="48" t="s">
        <v>331</v>
      </c>
      <c r="F13" s="379"/>
      <c r="G13" s="48" t="s">
        <v>683</v>
      </c>
      <c r="H13" s="47">
        <v>2.7896536340852132</v>
      </c>
      <c r="I13" s="47">
        <v>2.5111937343358397</v>
      </c>
      <c r="J13" s="26">
        <v>2.5524399509803919</v>
      </c>
      <c r="K13" s="26">
        <f>'[1]Phone Support'!B61</f>
        <v>1.9525000000000001</v>
      </c>
      <c r="L13" s="26">
        <v>1.95</v>
      </c>
      <c r="M13" s="26">
        <f>AVERAGE('Phone Support'!B8:B12)</f>
        <v>1.8759584045584046</v>
      </c>
    </row>
  </sheetData>
  <mergeCells count="20">
    <mergeCell ref="A12:A13"/>
    <mergeCell ref="B12:B13"/>
    <mergeCell ref="C12:C13"/>
    <mergeCell ref="D12:D13"/>
    <mergeCell ref="F12:F13"/>
    <mergeCell ref="F6:F7"/>
    <mergeCell ref="G6:G7"/>
    <mergeCell ref="A10:A11"/>
    <mergeCell ref="B10:B11"/>
    <mergeCell ref="C10:C11"/>
    <mergeCell ref="D10:D11"/>
    <mergeCell ref="F10:F11"/>
    <mergeCell ref="A2:A5"/>
    <mergeCell ref="B4:B5"/>
    <mergeCell ref="C4:C5"/>
    <mergeCell ref="D4:D5"/>
    <mergeCell ref="A6:A9"/>
    <mergeCell ref="B6:B7"/>
    <mergeCell ref="C6:C7"/>
    <mergeCell ref="D6:D7"/>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C2C9-BD97-48ED-B871-EBF4A483CD5F}">
  <dimension ref="A1:AE26"/>
  <sheetViews>
    <sheetView workbookViewId="0">
      <selection activeCell="R9" sqref="R1:R1048576"/>
    </sheetView>
  </sheetViews>
  <sheetFormatPr defaultRowHeight="15"/>
  <cols>
    <col min="1" max="1" width="4" bestFit="1" customWidth="1"/>
    <col min="2" max="2" width="18.5703125" bestFit="1" customWidth="1"/>
    <col min="3" max="3" width="45.85546875" style="13" customWidth="1"/>
    <col min="4" max="4" width="9.85546875" hidden="1" customWidth="1"/>
    <col min="5" max="5" width="69.42578125" style="38" hidden="1" customWidth="1"/>
    <col min="6" max="6" width="83.7109375" style="13" hidden="1" customWidth="1"/>
    <col min="7" max="7" width="8.85546875" style="13" customWidth="1"/>
    <col min="8" max="8" width="10" style="3" hidden="1" customWidth="1"/>
    <col min="9" max="9" width="9.140625" customWidth="1"/>
    <col min="10" max="10" width="9.140625" hidden="1" customWidth="1"/>
    <col min="11" max="11" width="9.140625" customWidth="1"/>
    <col min="12" max="12" width="9.140625" hidden="1" customWidth="1"/>
    <col min="13" max="13" width="9.140625" customWidth="1"/>
    <col min="14" max="14" width="9.140625" hidden="1" customWidth="1"/>
    <col min="15" max="15" width="9.140625" customWidth="1"/>
    <col min="16" max="16" width="9.7109375" hidden="1" customWidth="1"/>
    <col min="17" max="17" width="9.140625" customWidth="1"/>
    <col min="18" max="18" width="9.140625" hidden="1" customWidth="1"/>
    <col min="19" max="19" width="9.140625" customWidth="1"/>
    <col min="20" max="31" width="9.140625" hidden="1" customWidth="1"/>
    <col min="32" max="32" width="9.140625" customWidth="1"/>
  </cols>
  <sheetData>
    <row r="1" spans="1:31" ht="25.5" customHeight="1">
      <c r="A1" s="382" t="s">
        <v>230</v>
      </c>
      <c r="B1" s="382" t="s">
        <v>70</v>
      </c>
      <c r="C1" s="383" t="s">
        <v>231</v>
      </c>
      <c r="D1" s="382" t="s">
        <v>232</v>
      </c>
      <c r="E1" s="383" t="s">
        <v>233</v>
      </c>
      <c r="F1" s="382" t="s">
        <v>234</v>
      </c>
      <c r="G1" s="382" t="s">
        <v>235</v>
      </c>
      <c r="H1" s="382" t="s">
        <v>240</v>
      </c>
      <c r="I1" s="382" t="s">
        <v>64</v>
      </c>
      <c r="J1" s="382" t="s">
        <v>241</v>
      </c>
      <c r="K1" s="382" t="s">
        <v>86</v>
      </c>
      <c r="L1" s="382" t="s">
        <v>89</v>
      </c>
      <c r="M1" s="382" t="s">
        <v>89</v>
      </c>
      <c r="N1" s="382" t="s">
        <v>242</v>
      </c>
      <c r="O1" s="382" t="s">
        <v>97</v>
      </c>
      <c r="P1" s="28" t="s">
        <v>243</v>
      </c>
      <c r="Q1" s="382" t="s">
        <v>125</v>
      </c>
      <c r="R1" s="382" t="s">
        <v>244</v>
      </c>
      <c r="S1" s="382" t="s">
        <v>55</v>
      </c>
      <c r="T1" s="382" t="s">
        <v>245</v>
      </c>
      <c r="U1" s="382" t="s">
        <v>56</v>
      </c>
      <c r="V1" s="382" t="s">
        <v>292</v>
      </c>
      <c r="W1" s="382" t="s">
        <v>27</v>
      </c>
      <c r="X1" s="382" t="s">
        <v>337</v>
      </c>
      <c r="Y1" s="382" t="s">
        <v>33</v>
      </c>
      <c r="Z1" s="382" t="s">
        <v>403</v>
      </c>
      <c r="AA1" s="382" t="s">
        <v>43</v>
      </c>
      <c r="AB1" s="382" t="s">
        <v>478</v>
      </c>
      <c r="AC1" s="382" t="s">
        <v>44</v>
      </c>
      <c r="AD1" s="382" t="s">
        <v>525</v>
      </c>
      <c r="AE1" s="382" t="s">
        <v>61</v>
      </c>
    </row>
    <row r="2" spans="1:31">
      <c r="A2" s="382"/>
      <c r="B2" s="382"/>
      <c r="C2" s="383"/>
      <c r="D2" s="382"/>
      <c r="E2" s="383"/>
      <c r="F2" s="382"/>
      <c r="G2" s="382"/>
      <c r="H2" s="382"/>
      <c r="I2" s="382"/>
      <c r="J2" s="382"/>
      <c r="K2" s="382"/>
      <c r="L2" s="382"/>
      <c r="M2" s="382"/>
      <c r="N2" s="382"/>
      <c r="O2" s="382"/>
      <c r="P2" s="28" t="s">
        <v>247</v>
      </c>
      <c r="Q2" s="382"/>
      <c r="R2" s="382"/>
      <c r="S2" s="382"/>
      <c r="T2" s="382"/>
      <c r="U2" s="382"/>
      <c r="V2" s="382"/>
      <c r="W2" s="382"/>
      <c r="X2" s="382"/>
      <c r="Y2" s="382"/>
      <c r="Z2" s="382"/>
      <c r="AA2" s="382"/>
      <c r="AB2" s="382"/>
      <c r="AC2" s="382"/>
      <c r="AD2" s="382"/>
      <c r="AE2" s="382"/>
    </row>
    <row r="3" spans="1:31">
      <c r="A3" s="384">
        <v>1</v>
      </c>
      <c r="B3" s="385" t="s">
        <v>47</v>
      </c>
      <c r="C3" s="386" t="s">
        <v>290</v>
      </c>
      <c r="D3" s="387" t="s">
        <v>248</v>
      </c>
      <c r="E3" s="386" t="s">
        <v>249</v>
      </c>
      <c r="F3" s="29" t="s">
        <v>250</v>
      </c>
      <c r="G3" s="388">
        <v>0.95</v>
      </c>
      <c r="H3" s="105">
        <v>634</v>
      </c>
      <c r="I3" s="390">
        <f>H3/H4</f>
        <v>1</v>
      </c>
      <c r="J3" s="24">
        <v>689</v>
      </c>
      <c r="K3" s="389">
        <f>J3/J4</f>
        <v>1</v>
      </c>
      <c r="L3" s="34">
        <v>695</v>
      </c>
      <c r="M3" s="389">
        <v>1</v>
      </c>
      <c r="N3" s="34">
        <v>818</v>
      </c>
      <c r="O3" s="389">
        <f>N3/N4</f>
        <v>1</v>
      </c>
      <c r="P3" s="17">
        <v>872</v>
      </c>
      <c r="Q3" s="389">
        <f>P3/P4</f>
        <v>1</v>
      </c>
      <c r="R3" s="17">
        <f>'2024'!G8</f>
        <v>842</v>
      </c>
      <c r="S3" s="389">
        <f>R3/R4</f>
        <v>1</v>
      </c>
      <c r="T3" s="17">
        <f>'[2]SLA WW'!H3</f>
        <v>706</v>
      </c>
      <c r="U3" s="389">
        <f>T3/T4</f>
        <v>1</v>
      </c>
      <c r="V3" s="1">
        <f>'2023'!I4</f>
        <v>814</v>
      </c>
      <c r="W3" s="389">
        <f>V3/V4</f>
        <v>1</v>
      </c>
      <c r="X3">
        <v>629</v>
      </c>
      <c r="Y3" s="389">
        <v>1</v>
      </c>
      <c r="Z3">
        <v>863</v>
      </c>
      <c r="AA3" s="389">
        <f>Z3/Z4</f>
        <v>1</v>
      </c>
      <c r="AB3">
        <f>SUM('[3]Central Services'!Z10:Z11)</f>
        <v>681</v>
      </c>
      <c r="AC3" s="389">
        <f>AB3/AB4</f>
        <v>1</v>
      </c>
      <c r="AD3">
        <f>'2023'!M4</f>
        <v>626</v>
      </c>
      <c r="AE3" s="389">
        <v>1</v>
      </c>
    </row>
    <row r="4" spans="1:31">
      <c r="A4" s="384"/>
      <c r="B4" s="385"/>
      <c r="C4" s="386"/>
      <c r="D4" s="387"/>
      <c r="E4" s="386"/>
      <c r="F4" s="29" t="s">
        <v>251</v>
      </c>
      <c r="G4" s="388"/>
      <c r="H4" s="105">
        <v>634</v>
      </c>
      <c r="I4" s="390"/>
      <c r="J4" s="24">
        <v>689</v>
      </c>
      <c r="K4" s="389"/>
      <c r="L4" s="34">
        <v>695</v>
      </c>
      <c r="M4" s="389"/>
      <c r="N4" s="34">
        <v>818</v>
      </c>
      <c r="O4" s="389"/>
      <c r="P4" s="17">
        <v>872</v>
      </c>
      <c r="Q4" s="389"/>
      <c r="R4" s="17">
        <f>'2024'!G8</f>
        <v>842</v>
      </c>
      <c r="S4" s="389"/>
      <c r="T4" s="17">
        <f>'[2]SLA WW'!H4</f>
        <v>706</v>
      </c>
      <c r="U4" s="389"/>
      <c r="V4" s="1">
        <f>'2023'!I4</f>
        <v>814</v>
      </c>
      <c r="W4" s="389"/>
      <c r="X4">
        <v>629</v>
      </c>
      <c r="Y4" s="389"/>
      <c r="Z4">
        <v>863</v>
      </c>
      <c r="AA4" s="389"/>
      <c r="AB4">
        <f>SUM('[3]Central Services'!Z10:Z11)</f>
        <v>681</v>
      </c>
      <c r="AC4" s="389"/>
      <c r="AD4">
        <f>'2023'!M4</f>
        <v>626</v>
      </c>
      <c r="AE4" s="389"/>
    </row>
    <row r="5" spans="1:31">
      <c r="A5" s="384">
        <v>2</v>
      </c>
      <c r="B5" s="385" t="s">
        <v>47</v>
      </c>
      <c r="C5" s="386" t="s">
        <v>291</v>
      </c>
      <c r="D5" s="387" t="s">
        <v>252</v>
      </c>
      <c r="E5" s="30" t="s">
        <v>253</v>
      </c>
      <c r="F5" s="29" t="s">
        <v>254</v>
      </c>
      <c r="G5" s="388">
        <v>0.97</v>
      </c>
      <c r="H5" s="106">
        <v>13538</v>
      </c>
      <c r="I5" s="392">
        <f>H5/H6</f>
        <v>0.99955699940933251</v>
      </c>
      <c r="J5" s="24">
        <v>14497</v>
      </c>
      <c r="K5" s="389">
        <f>J5/J6</f>
        <v>0.99937956707569287</v>
      </c>
      <c r="L5" s="35">
        <v>19438</v>
      </c>
      <c r="M5" s="389">
        <v>0.99881814911875033</v>
      </c>
      <c r="N5" s="35">
        <v>23067</v>
      </c>
      <c r="O5" s="389">
        <f>N5/N6</f>
        <v>0.99948004679578839</v>
      </c>
      <c r="P5" s="24">
        <v>20902</v>
      </c>
      <c r="Q5" s="389">
        <f>P5/P6</f>
        <v>0.99956960451437038</v>
      </c>
      <c r="R5" s="24">
        <f>'Silver Rock'!AC13-'Silver Rock'!AF13</f>
        <v>20194</v>
      </c>
      <c r="S5" s="389">
        <f>R5/R6</f>
        <v>0.99896116744991348</v>
      </c>
      <c r="T5" s="24">
        <f>'[2]SLA WW'!H5</f>
        <v>12629</v>
      </c>
      <c r="U5" s="389">
        <f>T5/T6</f>
        <v>1</v>
      </c>
      <c r="V5" s="1">
        <f>'[4]Silver Rock'!AC9-'[4]Silver Rock'!AF9</f>
        <v>14160</v>
      </c>
      <c r="W5" s="389">
        <f>V5/V6</f>
        <v>0.99922376684778769</v>
      </c>
      <c r="X5">
        <v>14061</v>
      </c>
      <c r="Y5" s="389">
        <v>0.99943137394271098</v>
      </c>
      <c r="Z5">
        <v>12841</v>
      </c>
      <c r="AA5" s="389">
        <f>Z5/Z6</f>
        <v>0.9992218504396545</v>
      </c>
      <c r="AB5">
        <f>SUM('[3]Silver Rock'!AA9-'[3]Silver Rock'!AD9)</f>
        <v>14320</v>
      </c>
      <c r="AC5" s="389">
        <f>AB5/AB6</f>
        <v>0.99958118106938432</v>
      </c>
      <c r="AD5" t="e">
        <f>#REF!-#REF!</f>
        <v>#REF!</v>
      </c>
      <c r="AE5" s="389">
        <v>0.99943201987930419</v>
      </c>
    </row>
    <row r="6" spans="1:31">
      <c r="A6" s="384"/>
      <c r="B6" s="385"/>
      <c r="C6" s="386"/>
      <c r="D6" s="387"/>
      <c r="E6" s="30" t="s">
        <v>255</v>
      </c>
      <c r="F6" s="29" t="s">
        <v>256</v>
      </c>
      <c r="G6" s="388"/>
      <c r="H6" s="106">
        <v>13544</v>
      </c>
      <c r="I6" s="392"/>
      <c r="J6" s="24">
        <v>14506</v>
      </c>
      <c r="K6" s="389"/>
      <c r="L6" s="35">
        <v>19461</v>
      </c>
      <c r="M6" s="389"/>
      <c r="N6" s="35">
        <v>23079</v>
      </c>
      <c r="O6" s="389"/>
      <c r="P6" s="24">
        <v>20911</v>
      </c>
      <c r="Q6" s="389"/>
      <c r="R6" s="24">
        <f>'Silver Rock'!AC13</f>
        <v>20215</v>
      </c>
      <c r="S6" s="389"/>
      <c r="T6" s="24">
        <f>'[2]SLA WW'!H6</f>
        <v>12629</v>
      </c>
      <c r="U6" s="389"/>
      <c r="V6" s="1">
        <f>'[4]Silver Rock'!AC9</f>
        <v>14171</v>
      </c>
      <c r="W6" s="389"/>
      <c r="X6" s="1">
        <v>14069</v>
      </c>
      <c r="Y6" s="389"/>
      <c r="Z6" s="1">
        <v>12851</v>
      </c>
      <c r="AA6" s="389"/>
      <c r="AB6" s="1">
        <f>'[3]Silver Rock'!AA9</f>
        <v>14326</v>
      </c>
      <c r="AC6" s="389"/>
      <c r="AD6" s="1" t="e">
        <f>#REF!</f>
        <v>#REF!</v>
      </c>
      <c r="AE6" s="389"/>
    </row>
    <row r="7" spans="1:31" ht="15" customHeight="1">
      <c r="A7" s="384">
        <v>3</v>
      </c>
      <c r="B7" s="385" t="s">
        <v>47</v>
      </c>
      <c r="C7" s="386" t="s">
        <v>293</v>
      </c>
      <c r="D7" s="387" t="s">
        <v>248</v>
      </c>
      <c r="E7" s="391" t="s">
        <v>257</v>
      </c>
      <c r="F7" s="29" t="s">
        <v>258</v>
      </c>
      <c r="G7" s="388">
        <v>0.95</v>
      </c>
      <c r="H7" s="104">
        <v>737</v>
      </c>
      <c r="I7" s="389">
        <f>H7/H8</f>
        <v>1</v>
      </c>
      <c r="J7" s="24">
        <v>741</v>
      </c>
      <c r="K7" s="389">
        <f>J7/J8</f>
        <v>1</v>
      </c>
      <c r="L7" s="161">
        <v>1045</v>
      </c>
      <c r="M7" s="389">
        <v>1</v>
      </c>
      <c r="N7" s="161">
        <v>868</v>
      </c>
      <c r="O7" s="389">
        <f>N7/N8</f>
        <v>1</v>
      </c>
      <c r="P7" s="17">
        <v>779</v>
      </c>
      <c r="Q7" s="389">
        <f>P7/P8</f>
        <v>1</v>
      </c>
      <c r="R7" s="24">
        <f>'2024'!G5</f>
        <v>925</v>
      </c>
      <c r="S7" s="389">
        <f>R7/R8</f>
        <v>1</v>
      </c>
      <c r="T7" s="17">
        <f>'[2]SLA WW'!H7</f>
        <v>706</v>
      </c>
      <c r="U7" s="389">
        <f>T7/T8</f>
        <v>1</v>
      </c>
      <c r="V7" s="1">
        <f>[4]AP!Y26</f>
        <v>636</v>
      </c>
      <c r="W7" s="389">
        <f>V7/V8</f>
        <v>1</v>
      </c>
      <c r="X7">
        <v>972</v>
      </c>
      <c r="Y7" s="389">
        <v>1</v>
      </c>
      <c r="Z7">
        <v>998</v>
      </c>
      <c r="AA7" s="389">
        <f>Z7/Z8</f>
        <v>1</v>
      </c>
      <c r="AB7" s="67">
        <f>[3]Volume!L6</f>
        <v>902</v>
      </c>
      <c r="AC7" s="389">
        <f>AB7/AB8</f>
        <v>1</v>
      </c>
      <c r="AD7" s="67">
        <f>'2023'!M6</f>
        <v>778</v>
      </c>
      <c r="AE7" s="389">
        <v>1</v>
      </c>
    </row>
    <row r="8" spans="1:31">
      <c r="A8" s="384"/>
      <c r="B8" s="385"/>
      <c r="C8" s="386"/>
      <c r="D8" s="387"/>
      <c r="E8" s="391"/>
      <c r="F8" s="29" t="s">
        <v>259</v>
      </c>
      <c r="G8" s="388"/>
      <c r="H8" s="104">
        <v>737</v>
      </c>
      <c r="I8" s="389"/>
      <c r="J8" s="24">
        <v>741</v>
      </c>
      <c r="K8" s="389"/>
      <c r="L8" s="161">
        <v>1045</v>
      </c>
      <c r="M8" s="389"/>
      <c r="N8" s="161">
        <v>868</v>
      </c>
      <c r="O8" s="389"/>
      <c r="P8" s="17">
        <v>779</v>
      </c>
      <c r="Q8" s="389"/>
      <c r="R8" s="24">
        <f>'2024'!G5</f>
        <v>925</v>
      </c>
      <c r="S8" s="389"/>
      <c r="T8" s="17">
        <f>'[2]SLA WW'!H8</f>
        <v>706</v>
      </c>
      <c r="U8" s="389"/>
      <c r="V8" s="1">
        <f>[4]AP!Y26</f>
        <v>636</v>
      </c>
      <c r="W8" s="389"/>
      <c r="X8">
        <v>972</v>
      </c>
      <c r="Y8" s="389"/>
      <c r="Z8">
        <v>998</v>
      </c>
      <c r="AA8" s="389"/>
      <c r="AB8" s="51">
        <f>[3]Volume!L6</f>
        <v>902</v>
      </c>
      <c r="AC8" s="389"/>
      <c r="AD8" s="51">
        <f>'2023'!M6</f>
        <v>778</v>
      </c>
      <c r="AE8" s="389"/>
    </row>
    <row r="9" spans="1:31">
      <c r="A9" s="384">
        <v>4</v>
      </c>
      <c r="B9" s="385" t="s">
        <v>48</v>
      </c>
      <c r="C9" s="386" t="s">
        <v>260</v>
      </c>
      <c r="D9" s="387" t="s">
        <v>248</v>
      </c>
      <c r="E9" s="30" t="s">
        <v>261</v>
      </c>
      <c r="F9" s="29" t="s">
        <v>262</v>
      </c>
      <c r="G9" s="388">
        <v>0.98</v>
      </c>
      <c r="H9" s="5">
        <v>546</v>
      </c>
      <c r="I9" s="389">
        <f>H9/H10</f>
        <v>1</v>
      </c>
      <c r="J9" s="17">
        <v>609</v>
      </c>
      <c r="K9" s="389">
        <f>J9/J10</f>
        <v>1</v>
      </c>
      <c r="L9" s="34">
        <v>659</v>
      </c>
      <c r="M9" s="389">
        <v>1</v>
      </c>
      <c r="N9" s="34">
        <v>622</v>
      </c>
      <c r="O9" s="389">
        <f>N9/N10</f>
        <v>1</v>
      </c>
      <c r="P9" s="17">
        <v>786</v>
      </c>
      <c r="Q9" s="389">
        <f>P9/P10</f>
        <v>1</v>
      </c>
      <c r="R9" s="17">
        <f>'2024'!G13</f>
        <v>529</v>
      </c>
      <c r="S9" s="389">
        <f>R9/R10</f>
        <v>1</v>
      </c>
      <c r="T9" s="17">
        <f>'[2]SLA WW'!H9</f>
        <v>661</v>
      </c>
      <c r="U9" s="389">
        <f>T9/T10</f>
        <v>1</v>
      </c>
      <c r="V9" s="1">
        <f>[4]AR!Y26</f>
        <v>701</v>
      </c>
      <c r="W9" s="389">
        <f>V9/V10</f>
        <v>1</v>
      </c>
      <c r="X9">
        <v>683</v>
      </c>
      <c r="Y9" s="389">
        <v>1</v>
      </c>
      <c r="Z9">
        <v>590</v>
      </c>
      <c r="AA9" s="389">
        <f>Z9/Z10</f>
        <v>1</v>
      </c>
      <c r="AB9">
        <f>[3]Volume!L14</f>
        <v>578</v>
      </c>
      <c r="AC9" s="389">
        <f>AB9/AB10</f>
        <v>1</v>
      </c>
      <c r="AD9">
        <f>'2023'!M14</f>
        <v>588</v>
      </c>
      <c r="AE9" s="389">
        <v>1</v>
      </c>
    </row>
    <row r="10" spans="1:31">
      <c r="A10" s="384"/>
      <c r="B10" s="385"/>
      <c r="C10" s="386"/>
      <c r="D10" s="387"/>
      <c r="E10" s="36" t="s">
        <v>263</v>
      </c>
      <c r="F10" s="29" t="s">
        <v>264</v>
      </c>
      <c r="G10" s="388"/>
      <c r="H10" s="5">
        <v>546</v>
      </c>
      <c r="I10" s="389"/>
      <c r="J10" s="17">
        <v>609</v>
      </c>
      <c r="K10" s="389"/>
      <c r="L10" s="34">
        <v>659</v>
      </c>
      <c r="M10" s="389"/>
      <c r="N10" s="34">
        <v>622</v>
      </c>
      <c r="O10" s="389"/>
      <c r="P10" s="17">
        <v>786</v>
      </c>
      <c r="Q10" s="389"/>
      <c r="R10" s="17">
        <f>'2024'!G13</f>
        <v>529</v>
      </c>
      <c r="S10" s="389"/>
      <c r="T10" s="17">
        <f>'[2]SLA WW'!H11</f>
        <v>661</v>
      </c>
      <c r="U10" s="389"/>
      <c r="V10" s="1">
        <f>[4]AR!Y26</f>
        <v>701</v>
      </c>
      <c r="W10" s="389"/>
      <c r="X10">
        <v>683</v>
      </c>
      <c r="Y10" s="389"/>
      <c r="Z10">
        <v>590</v>
      </c>
      <c r="AA10" s="389"/>
      <c r="AB10">
        <f>[3]Volume!L14</f>
        <v>578</v>
      </c>
      <c r="AC10" s="389"/>
      <c r="AD10">
        <f>'2023'!M14</f>
        <v>588</v>
      </c>
      <c r="AE10" s="389"/>
    </row>
    <row r="11" spans="1:31" ht="15" customHeight="1">
      <c r="A11" s="384">
        <v>5</v>
      </c>
      <c r="B11" s="385" t="s">
        <v>48</v>
      </c>
      <c r="C11" s="386" t="s">
        <v>265</v>
      </c>
      <c r="D11" s="387" t="s">
        <v>248</v>
      </c>
      <c r="E11" s="386" t="s">
        <v>266</v>
      </c>
      <c r="F11" s="29" t="s">
        <v>267</v>
      </c>
      <c r="G11" s="388">
        <v>0.98</v>
      </c>
      <c r="H11" s="107">
        <v>1046</v>
      </c>
      <c r="I11" s="389">
        <f>H11/H12</f>
        <v>1</v>
      </c>
      <c r="J11" s="17">
        <v>1121</v>
      </c>
      <c r="K11" s="389">
        <f>J11/J12</f>
        <v>0.98075240594925639</v>
      </c>
      <c r="L11" s="34">
        <v>915</v>
      </c>
      <c r="M11" s="389">
        <v>0.98175965665236054</v>
      </c>
      <c r="N11" s="34">
        <v>1118</v>
      </c>
      <c r="O11" s="389">
        <f>N11/N12</f>
        <v>0.9885057471264368</v>
      </c>
      <c r="P11" s="17">
        <v>1124</v>
      </c>
      <c r="Q11" s="389">
        <f>P11/P12</f>
        <v>0.98510078878177043</v>
      </c>
      <c r="R11" s="17">
        <f>'Phone Support'!B24</f>
        <v>1012</v>
      </c>
      <c r="S11" s="389">
        <f>R11/R12</f>
        <v>0.98062015503875966</v>
      </c>
      <c r="T11" s="17">
        <f>'[2]SLA WW'!H13</f>
        <v>1146</v>
      </c>
      <c r="U11" s="389">
        <f>T11/T12</f>
        <v>0.98369098712446357</v>
      </c>
      <c r="V11" s="1">
        <f>'[4]Phone Support'!B23-'[4]Phone Support'!B24</f>
        <v>1389</v>
      </c>
      <c r="W11" s="389">
        <f>V11/V12</f>
        <v>0.9816254416961131</v>
      </c>
      <c r="X11" s="1">
        <v>1390</v>
      </c>
      <c r="Y11" s="389">
        <v>0.98025387870239777</v>
      </c>
      <c r="Z11" s="1">
        <v>1359</v>
      </c>
      <c r="AA11" s="389">
        <f>Z11/Z12</f>
        <v>0.99052478134110788</v>
      </c>
      <c r="AB11" s="68">
        <f>([3]Volume!L27-13)</f>
        <v>986</v>
      </c>
      <c r="AC11" s="389">
        <f>AB11/AB12</f>
        <v>0.98698698698698695</v>
      </c>
      <c r="AD11" s="68" t="e">
        <f>'Phone Support'!#REF!</f>
        <v>#REF!</v>
      </c>
      <c r="AE11" s="389">
        <v>0.98360655737704916</v>
      </c>
    </row>
    <row r="12" spans="1:31">
      <c r="A12" s="384"/>
      <c r="B12" s="385"/>
      <c r="C12" s="386"/>
      <c r="D12" s="387"/>
      <c r="E12" s="386"/>
      <c r="F12" s="29" t="s">
        <v>268</v>
      </c>
      <c r="G12" s="388"/>
      <c r="H12" s="107">
        <v>1046</v>
      </c>
      <c r="I12" s="389"/>
      <c r="J12" s="17">
        <v>1143</v>
      </c>
      <c r="K12" s="389"/>
      <c r="L12" s="34">
        <v>932</v>
      </c>
      <c r="M12" s="389"/>
      <c r="N12" s="34">
        <v>1131</v>
      </c>
      <c r="O12" s="389"/>
      <c r="P12" s="17">
        <v>1141</v>
      </c>
      <c r="Q12" s="389"/>
      <c r="R12" s="17">
        <f>'Phone Support'!B23</f>
        <v>1032</v>
      </c>
      <c r="S12" s="389"/>
      <c r="T12" s="17">
        <f>'[2]SLA WW'!H14</f>
        <v>1165</v>
      </c>
      <c r="U12" s="389"/>
      <c r="V12" s="1">
        <f>'[4]Phone Support'!B23</f>
        <v>1415</v>
      </c>
      <c r="W12" s="389"/>
      <c r="X12" s="1">
        <v>1418</v>
      </c>
      <c r="Y12" s="389"/>
      <c r="Z12" s="1">
        <v>1372</v>
      </c>
      <c r="AA12" s="389"/>
      <c r="AB12" s="68">
        <f>[3]Volume!L27</f>
        <v>999</v>
      </c>
      <c r="AC12" s="389"/>
      <c r="AD12" s="68" t="e">
        <f>'Phone Support'!#REF!</f>
        <v>#REF!</v>
      </c>
      <c r="AE12" s="389"/>
    </row>
    <row r="13" spans="1:31">
      <c r="A13" s="384">
        <v>6</v>
      </c>
      <c r="B13" s="385" t="s">
        <v>48</v>
      </c>
      <c r="C13" s="386" t="s">
        <v>265</v>
      </c>
      <c r="D13" s="387" t="s">
        <v>248</v>
      </c>
      <c r="E13" s="391" t="s">
        <v>269</v>
      </c>
      <c r="F13" s="29" t="s">
        <v>270</v>
      </c>
      <c r="G13" s="388">
        <v>0.98</v>
      </c>
      <c r="H13" s="2">
        <v>40</v>
      </c>
      <c r="I13" s="389">
        <f>H13/H14</f>
        <v>1</v>
      </c>
      <c r="J13" s="17">
        <v>1133</v>
      </c>
      <c r="K13" s="389">
        <f>J13/J14</f>
        <v>0.99125109361329833</v>
      </c>
      <c r="L13" s="34">
        <v>927</v>
      </c>
      <c r="M13" s="389">
        <v>0.99463519313304716</v>
      </c>
      <c r="N13" s="34">
        <v>1127</v>
      </c>
      <c r="O13" s="389">
        <f>N13/N14</f>
        <v>0.99646330680813444</v>
      </c>
      <c r="P13" s="17">
        <v>1137</v>
      </c>
      <c r="Q13" s="389">
        <f>P13/P14</f>
        <v>0.99649430324276955</v>
      </c>
      <c r="R13" s="17">
        <f>'Phone Support'!B23-'Phone Support'!B26</f>
        <v>1027</v>
      </c>
      <c r="S13" s="389">
        <f>R13/R14</f>
        <v>0.99515503875968991</v>
      </c>
      <c r="T13" s="17">
        <f>'[2]SLA WW'!H15</f>
        <v>1157</v>
      </c>
      <c r="U13" s="389">
        <f>T13/T14</f>
        <v>0.99313304721030038</v>
      </c>
      <c r="V13" s="1">
        <f>'[4]Phone Support'!B23-'[4]Phone Support'!B25</f>
        <v>1411</v>
      </c>
      <c r="W13" s="389">
        <f>V13/V14</f>
        <v>0.99717314487632513</v>
      </c>
      <c r="X13" s="1">
        <v>1406</v>
      </c>
      <c r="Y13" s="389">
        <v>0.9915373765867419</v>
      </c>
      <c r="Z13" s="1">
        <v>1369</v>
      </c>
      <c r="AA13" s="389">
        <f>Z13/Z14</f>
        <v>0.99781341107871724</v>
      </c>
      <c r="AB13" s="68">
        <f>[3]Volume!L27-5</f>
        <v>994</v>
      </c>
      <c r="AC13" s="389">
        <f>AB13/AB14</f>
        <v>0.994994994994995</v>
      </c>
      <c r="AD13" s="68">
        <v>853</v>
      </c>
      <c r="AE13" s="389">
        <v>0.99882903981264637</v>
      </c>
    </row>
    <row r="14" spans="1:31">
      <c r="A14" s="384"/>
      <c r="B14" s="385"/>
      <c r="C14" s="386"/>
      <c r="D14" s="387"/>
      <c r="E14" s="391"/>
      <c r="F14" s="29" t="s">
        <v>271</v>
      </c>
      <c r="G14" s="388"/>
      <c r="H14" s="2">
        <v>40</v>
      </c>
      <c r="I14" s="389"/>
      <c r="J14" s="17">
        <v>1143</v>
      </c>
      <c r="K14" s="389"/>
      <c r="L14" s="34">
        <v>932</v>
      </c>
      <c r="M14" s="389"/>
      <c r="N14" s="34">
        <v>1131</v>
      </c>
      <c r="O14" s="389"/>
      <c r="P14" s="17">
        <v>1141</v>
      </c>
      <c r="Q14" s="389"/>
      <c r="R14" s="17">
        <f>'Phone Support'!B23</f>
        <v>1032</v>
      </c>
      <c r="S14" s="389"/>
      <c r="T14" s="17">
        <f>'[2]SLA WW'!H17</f>
        <v>1165</v>
      </c>
      <c r="U14" s="389"/>
      <c r="V14" s="1">
        <f>'[4]Phone Support'!B23</f>
        <v>1415</v>
      </c>
      <c r="W14" s="389"/>
      <c r="X14">
        <v>1418</v>
      </c>
      <c r="Y14" s="389"/>
      <c r="Z14">
        <v>1372</v>
      </c>
      <c r="AA14" s="389"/>
      <c r="AB14" s="51">
        <f>[3]Volume!L27</f>
        <v>999</v>
      </c>
      <c r="AC14" s="389"/>
      <c r="AD14" s="51">
        <v>854</v>
      </c>
      <c r="AE14" s="389"/>
    </row>
    <row r="15" spans="1:31">
      <c r="A15" s="384">
        <v>7</v>
      </c>
      <c r="B15" s="391" t="s">
        <v>8</v>
      </c>
      <c r="C15" s="391" t="s">
        <v>272</v>
      </c>
      <c r="D15" s="387" t="s">
        <v>248</v>
      </c>
      <c r="E15" s="391" t="s">
        <v>273</v>
      </c>
      <c r="F15" s="29" t="s">
        <v>274</v>
      </c>
      <c r="G15" s="393">
        <v>0.98</v>
      </c>
      <c r="H15" s="107">
        <v>3839</v>
      </c>
      <c r="I15" s="389">
        <f>H15/H16</f>
        <v>1</v>
      </c>
      <c r="J15" s="148">
        <v>5452</v>
      </c>
      <c r="K15" s="389">
        <f>J15/J16</f>
        <v>1</v>
      </c>
      <c r="L15" s="161">
        <v>5019</v>
      </c>
      <c r="M15" s="389">
        <v>1</v>
      </c>
      <c r="N15" s="161">
        <v>14051</v>
      </c>
      <c r="O15" s="389">
        <f>N15/N16</f>
        <v>1</v>
      </c>
      <c r="P15" s="148">
        <v>13716</v>
      </c>
      <c r="Q15" s="389">
        <f>P15/P16</f>
        <v>1</v>
      </c>
      <c r="R15" s="148">
        <f>'2024'!G43</f>
        <v>8482</v>
      </c>
      <c r="S15" s="389">
        <f>R15/R16</f>
        <v>1</v>
      </c>
      <c r="T15" s="17">
        <f>'[2]SLA WW'!H18</f>
        <v>5788</v>
      </c>
      <c r="U15" s="389">
        <f>T15/T16</f>
        <v>1</v>
      </c>
      <c r="V15" s="1">
        <f>'[4]Cash Balancing'!Z10</f>
        <v>4122</v>
      </c>
      <c r="W15" s="389">
        <f>V15/V16</f>
        <v>1</v>
      </c>
      <c r="X15" s="1">
        <v>4823</v>
      </c>
      <c r="Y15" s="389">
        <v>1</v>
      </c>
      <c r="Z15" s="1">
        <v>4650</v>
      </c>
      <c r="AA15" s="389">
        <f>Z15/Z16</f>
        <v>1</v>
      </c>
      <c r="AB15" s="68">
        <f>[3]Volume!L22</f>
        <v>3639</v>
      </c>
      <c r="AC15" s="389">
        <f>AB15/AB16</f>
        <v>1</v>
      </c>
      <c r="AD15" s="68">
        <f>'2023'!M22</f>
        <v>3035</v>
      </c>
      <c r="AE15" s="389">
        <v>1</v>
      </c>
    </row>
    <row r="16" spans="1:31">
      <c r="A16" s="384"/>
      <c r="B16" s="391"/>
      <c r="C16" s="391"/>
      <c r="D16" s="387"/>
      <c r="E16" s="391"/>
      <c r="F16" s="29" t="s">
        <v>275</v>
      </c>
      <c r="G16" s="393"/>
      <c r="H16" s="107">
        <v>3839</v>
      </c>
      <c r="I16" s="389"/>
      <c r="J16" s="148">
        <v>5452</v>
      </c>
      <c r="K16" s="389"/>
      <c r="L16" s="161">
        <v>5019</v>
      </c>
      <c r="M16" s="389"/>
      <c r="N16" s="161">
        <v>14051</v>
      </c>
      <c r="O16" s="389"/>
      <c r="P16" s="148">
        <v>13716</v>
      </c>
      <c r="Q16" s="389"/>
      <c r="R16" s="148">
        <f>'2024'!G43</f>
        <v>8482</v>
      </c>
      <c r="S16" s="389"/>
      <c r="T16" s="17">
        <f>'[2]SLA WW'!H19</f>
        <v>5788</v>
      </c>
      <c r="U16" s="389"/>
      <c r="V16" s="1">
        <f>'[4]Cash Balancing'!Z10</f>
        <v>4122</v>
      </c>
      <c r="W16" s="389"/>
      <c r="X16">
        <v>4823</v>
      </c>
      <c r="Y16" s="389"/>
      <c r="Z16">
        <v>4650</v>
      </c>
      <c r="AA16" s="389"/>
      <c r="AB16" s="51">
        <f>[3]Volume!L22</f>
        <v>3639</v>
      </c>
      <c r="AC16" s="389"/>
      <c r="AD16" s="51">
        <f>'2023'!M22</f>
        <v>3035</v>
      </c>
      <c r="AE16" s="389"/>
    </row>
    <row r="17" spans="1:31">
      <c r="A17" s="384">
        <v>8</v>
      </c>
      <c r="B17" s="385" t="s">
        <v>2</v>
      </c>
      <c r="C17" s="386" t="s">
        <v>276</v>
      </c>
      <c r="D17" s="387" t="s">
        <v>248</v>
      </c>
      <c r="E17" s="391" t="s">
        <v>277</v>
      </c>
      <c r="F17" s="29" t="s">
        <v>278</v>
      </c>
      <c r="G17" s="393">
        <v>0.98</v>
      </c>
      <c r="H17" s="107">
        <v>1924</v>
      </c>
      <c r="I17" s="389">
        <f>H17/H18</f>
        <v>1</v>
      </c>
      <c r="J17" s="148">
        <v>1286</v>
      </c>
      <c r="K17" s="389">
        <f>J17/J18</f>
        <v>1</v>
      </c>
      <c r="L17" s="161">
        <v>1425</v>
      </c>
      <c r="M17" s="389">
        <v>1</v>
      </c>
      <c r="N17" s="161">
        <v>1987</v>
      </c>
      <c r="O17" s="389">
        <f>N17/N18</f>
        <v>1</v>
      </c>
      <c r="P17" s="148">
        <v>1365</v>
      </c>
      <c r="Q17" s="389">
        <f>P17/P18</f>
        <v>1</v>
      </c>
      <c r="R17" s="24">
        <f>'2024'!G4</f>
        <v>1094</v>
      </c>
      <c r="S17" s="389">
        <f>R17/R18</f>
        <v>1</v>
      </c>
      <c r="T17" s="17">
        <f>'[2]SLA WW'!H20</f>
        <v>556</v>
      </c>
      <c r="U17" s="389">
        <f>T17/T18</f>
        <v>1</v>
      </c>
      <c r="V17" s="1">
        <f>'2023'!I5</f>
        <v>819</v>
      </c>
      <c r="W17" s="389">
        <f>V17/V18</f>
        <v>1</v>
      </c>
      <c r="X17" s="51">
        <v>1139</v>
      </c>
      <c r="Y17" s="389">
        <v>1</v>
      </c>
      <c r="Z17" s="51">
        <v>1899</v>
      </c>
      <c r="AA17" s="389">
        <f>Z17/Z18</f>
        <v>1</v>
      </c>
      <c r="AB17" s="51">
        <f>[3]Volume!L5</f>
        <v>1281</v>
      </c>
      <c r="AC17" s="389">
        <f>AB17/AB18</f>
        <v>1</v>
      </c>
      <c r="AD17" s="51">
        <f>'2023'!M5</f>
        <v>1374</v>
      </c>
      <c r="AE17" s="389">
        <v>1</v>
      </c>
    </row>
    <row r="18" spans="1:31">
      <c r="A18" s="384"/>
      <c r="B18" s="385"/>
      <c r="C18" s="386"/>
      <c r="D18" s="387"/>
      <c r="E18" s="391"/>
      <c r="F18" s="29" t="s">
        <v>279</v>
      </c>
      <c r="G18" s="393"/>
      <c r="H18" s="107">
        <v>1924</v>
      </c>
      <c r="I18" s="389"/>
      <c r="J18" s="148">
        <v>1286</v>
      </c>
      <c r="K18" s="389"/>
      <c r="L18" s="161">
        <v>1425</v>
      </c>
      <c r="M18" s="389"/>
      <c r="N18" s="161">
        <v>1987</v>
      </c>
      <c r="O18" s="389"/>
      <c r="P18" s="148">
        <v>1365</v>
      </c>
      <c r="Q18" s="389"/>
      <c r="R18" s="24">
        <f>'2024'!G4</f>
        <v>1094</v>
      </c>
      <c r="S18" s="389"/>
      <c r="T18" s="17">
        <f>'[2]SLA WW'!H21</f>
        <v>556</v>
      </c>
      <c r="U18" s="389"/>
      <c r="V18" s="1">
        <f>'2023'!I5</f>
        <v>819</v>
      </c>
      <c r="W18" s="389"/>
      <c r="X18" s="51">
        <v>1139</v>
      </c>
      <c r="Y18" s="389"/>
      <c r="Z18" s="51">
        <v>1899</v>
      </c>
      <c r="AA18" s="389"/>
      <c r="AB18" s="51">
        <f>[3]Volume!L5</f>
        <v>1281</v>
      </c>
      <c r="AC18" s="389"/>
      <c r="AD18" s="51">
        <f>'2023'!M5</f>
        <v>1374</v>
      </c>
      <c r="AE18" s="389"/>
    </row>
    <row r="19" spans="1:31">
      <c r="A19" s="384">
        <v>9</v>
      </c>
      <c r="B19" s="385" t="s">
        <v>29</v>
      </c>
      <c r="C19" s="386" t="s">
        <v>280</v>
      </c>
      <c r="D19" s="387" t="s">
        <v>248</v>
      </c>
      <c r="E19" s="387" t="s">
        <v>281</v>
      </c>
      <c r="F19" s="29" t="s">
        <v>282</v>
      </c>
      <c r="G19" s="393">
        <v>0.98</v>
      </c>
      <c r="H19" s="2">
        <v>208</v>
      </c>
      <c r="I19" s="389">
        <f>H19/H20</f>
        <v>1</v>
      </c>
      <c r="J19" s="17">
        <v>257</v>
      </c>
      <c r="K19" s="389">
        <f>J19/J20</f>
        <v>1</v>
      </c>
      <c r="L19" s="34">
        <v>236</v>
      </c>
      <c r="M19" s="389">
        <v>1</v>
      </c>
      <c r="N19" s="34">
        <v>265</v>
      </c>
      <c r="O19" s="389">
        <f>N19/N20</f>
        <v>1</v>
      </c>
      <c r="P19" s="17">
        <v>239</v>
      </c>
      <c r="Q19" s="389">
        <f>P19/P20</f>
        <v>1</v>
      </c>
      <c r="R19" s="17">
        <v>242</v>
      </c>
      <c r="S19" s="389">
        <f>R19/R20</f>
        <v>1</v>
      </c>
      <c r="T19" s="17">
        <v>174</v>
      </c>
      <c r="U19" s="389">
        <f>T19/T20</f>
        <v>0.98863636363636365</v>
      </c>
      <c r="V19" s="1">
        <v>179</v>
      </c>
      <c r="W19" s="389">
        <f>V19/V20</f>
        <v>1</v>
      </c>
      <c r="X19">
        <v>158</v>
      </c>
      <c r="Y19" s="389">
        <v>1</v>
      </c>
      <c r="Z19">
        <v>206</v>
      </c>
      <c r="AA19" s="389">
        <f>Z19/Z20</f>
        <v>1</v>
      </c>
      <c r="AB19">
        <v>193</v>
      </c>
      <c r="AC19" s="389">
        <f>AB19/AB20</f>
        <v>1</v>
      </c>
      <c r="AD19">
        <v>205</v>
      </c>
      <c r="AE19" s="389">
        <v>1</v>
      </c>
    </row>
    <row r="20" spans="1:31">
      <c r="A20" s="384"/>
      <c r="B20" s="385"/>
      <c r="C20" s="386"/>
      <c r="D20" s="387"/>
      <c r="E20" s="387"/>
      <c r="F20" s="29" t="s">
        <v>283</v>
      </c>
      <c r="G20" s="393"/>
      <c r="H20" s="2">
        <v>208</v>
      </c>
      <c r="I20" s="389"/>
      <c r="J20" s="17">
        <v>257</v>
      </c>
      <c r="K20" s="389"/>
      <c r="L20" s="34">
        <v>236</v>
      </c>
      <c r="M20" s="389"/>
      <c r="N20" s="34">
        <v>265</v>
      </c>
      <c r="O20" s="389"/>
      <c r="P20" s="17">
        <v>239</v>
      </c>
      <c r="Q20" s="389"/>
      <c r="R20" s="17">
        <v>242</v>
      </c>
      <c r="S20" s="389"/>
      <c r="T20" s="17">
        <v>176</v>
      </c>
      <c r="U20" s="389"/>
      <c r="V20" s="1">
        <v>179</v>
      </c>
      <c r="W20" s="389"/>
      <c r="X20">
        <v>158</v>
      </c>
      <c r="Y20" s="389"/>
      <c r="Z20">
        <v>206</v>
      </c>
      <c r="AA20" s="389"/>
      <c r="AB20">
        <v>193</v>
      </c>
      <c r="AC20" s="389"/>
      <c r="AD20">
        <v>205</v>
      </c>
      <c r="AE20" s="389"/>
    </row>
    <row r="21" spans="1:31">
      <c r="A21" s="384">
        <v>10</v>
      </c>
      <c r="B21" s="394" t="s">
        <v>29</v>
      </c>
      <c r="C21" s="386" t="s">
        <v>284</v>
      </c>
      <c r="D21" s="387" t="s">
        <v>252</v>
      </c>
      <c r="E21" s="30" t="s">
        <v>285</v>
      </c>
      <c r="F21" s="29" t="s">
        <v>286</v>
      </c>
      <c r="G21" s="393">
        <v>0.98</v>
      </c>
      <c r="H21" s="2">
        <v>208</v>
      </c>
      <c r="I21" s="389">
        <f>H21/H22</f>
        <v>1</v>
      </c>
      <c r="J21" s="17">
        <v>257</v>
      </c>
      <c r="K21" s="389">
        <f>J21/J22</f>
        <v>1</v>
      </c>
      <c r="L21" s="34">
        <v>236</v>
      </c>
      <c r="M21" s="389">
        <v>1</v>
      </c>
      <c r="N21" s="34">
        <v>265</v>
      </c>
      <c r="O21" s="389">
        <f>N21/N22</f>
        <v>1</v>
      </c>
      <c r="P21" s="17">
        <v>239</v>
      </c>
      <c r="Q21" s="389">
        <f>P21/P22</f>
        <v>1</v>
      </c>
      <c r="R21" s="17">
        <v>242</v>
      </c>
      <c r="S21" s="389">
        <f>R21/R22</f>
        <v>1</v>
      </c>
      <c r="T21" s="17">
        <v>169</v>
      </c>
      <c r="U21" s="389">
        <f>T21/T22</f>
        <v>0.97126436781609193</v>
      </c>
      <c r="V21" s="1">
        <v>179</v>
      </c>
      <c r="W21" s="389">
        <f>V21/V22</f>
        <v>1</v>
      </c>
      <c r="X21">
        <v>158</v>
      </c>
      <c r="Y21" s="389">
        <v>1</v>
      </c>
      <c r="Z21">
        <v>206</v>
      </c>
      <c r="AA21" s="389">
        <f>Z21/Z22</f>
        <v>1</v>
      </c>
      <c r="AB21">
        <v>192</v>
      </c>
      <c r="AC21" s="389">
        <f>AB21/AB22</f>
        <v>0.99481865284974091</v>
      </c>
      <c r="AD21">
        <v>205</v>
      </c>
      <c r="AE21" s="389">
        <v>1</v>
      </c>
    </row>
    <row r="22" spans="1:31">
      <c r="A22" s="384"/>
      <c r="B22" s="394"/>
      <c r="C22" s="386"/>
      <c r="D22" s="387"/>
      <c r="E22" s="30" t="s">
        <v>255</v>
      </c>
      <c r="F22" s="29" t="s">
        <v>287</v>
      </c>
      <c r="G22" s="393"/>
      <c r="H22" s="2">
        <v>208</v>
      </c>
      <c r="I22" s="389"/>
      <c r="J22" s="17">
        <v>257</v>
      </c>
      <c r="K22" s="389"/>
      <c r="L22" s="34">
        <v>236</v>
      </c>
      <c r="M22" s="389"/>
      <c r="N22" s="34">
        <v>265</v>
      </c>
      <c r="O22" s="389"/>
      <c r="P22" s="17">
        <v>239</v>
      </c>
      <c r="Q22" s="389"/>
      <c r="R22" s="17">
        <v>242</v>
      </c>
      <c r="S22" s="389"/>
      <c r="T22" s="17">
        <v>174</v>
      </c>
      <c r="U22" s="389"/>
      <c r="V22" s="1">
        <v>179</v>
      </c>
      <c r="W22" s="389"/>
      <c r="X22">
        <v>158</v>
      </c>
      <c r="Y22" s="389"/>
      <c r="Z22">
        <v>206</v>
      </c>
      <c r="AA22" s="389"/>
      <c r="AB22">
        <v>193</v>
      </c>
      <c r="AC22" s="389"/>
      <c r="AD22">
        <v>205</v>
      </c>
      <c r="AE22" s="389"/>
    </row>
    <row r="23" spans="1:31">
      <c r="A23" s="384">
        <v>11</v>
      </c>
      <c r="B23" s="394" t="s">
        <v>69</v>
      </c>
      <c r="C23" s="386" t="s">
        <v>288</v>
      </c>
      <c r="D23" s="387" t="s">
        <v>248</v>
      </c>
      <c r="E23" s="30"/>
      <c r="F23" s="29"/>
      <c r="G23" s="393">
        <v>0.99</v>
      </c>
      <c r="H23" s="2">
        <v>20</v>
      </c>
      <c r="I23" s="389">
        <f>H23/H24</f>
        <v>1</v>
      </c>
      <c r="J23" s="24">
        <v>21</v>
      </c>
      <c r="K23" s="389">
        <f>J21/J22</f>
        <v>1</v>
      </c>
      <c r="L23" s="35">
        <v>21</v>
      </c>
      <c r="M23" s="389">
        <v>1</v>
      </c>
      <c r="N23" s="35">
        <v>21</v>
      </c>
      <c r="O23" s="395">
        <v>1</v>
      </c>
      <c r="P23" s="17">
        <v>21</v>
      </c>
      <c r="Q23" s="389">
        <f>P23/P24</f>
        <v>1</v>
      </c>
      <c r="R23" s="17">
        <v>20</v>
      </c>
      <c r="S23" s="389">
        <f>R23/R24</f>
        <v>1</v>
      </c>
      <c r="T23" s="17">
        <v>20</v>
      </c>
      <c r="U23" s="389">
        <f>T23/T24</f>
        <v>1</v>
      </c>
      <c r="V23" s="1">
        <v>21</v>
      </c>
      <c r="W23" s="389">
        <f>V23/V24</f>
        <v>1</v>
      </c>
      <c r="X23">
        <v>20</v>
      </c>
      <c r="Y23" s="389">
        <v>1</v>
      </c>
      <c r="Z23">
        <v>21</v>
      </c>
      <c r="AA23" s="389">
        <f>Z23/Z24</f>
        <v>1</v>
      </c>
      <c r="AB23">
        <v>21</v>
      </c>
      <c r="AC23" s="389">
        <f>AB23/AB24</f>
        <v>1</v>
      </c>
      <c r="AD23">
        <v>20</v>
      </c>
      <c r="AE23" s="389">
        <v>1</v>
      </c>
    </row>
    <row r="24" spans="1:31">
      <c r="A24" s="384"/>
      <c r="B24" s="394"/>
      <c r="C24" s="386"/>
      <c r="D24" s="387"/>
      <c r="E24" s="30"/>
      <c r="F24" s="29"/>
      <c r="G24" s="393"/>
      <c r="H24" s="2">
        <v>20</v>
      </c>
      <c r="I24" s="389"/>
      <c r="J24" s="24">
        <v>21</v>
      </c>
      <c r="K24" s="389"/>
      <c r="L24" s="35">
        <v>21</v>
      </c>
      <c r="M24" s="389"/>
      <c r="N24" s="35">
        <v>21</v>
      </c>
      <c r="O24" s="396"/>
      <c r="P24" s="17">
        <v>21</v>
      </c>
      <c r="Q24" s="389"/>
      <c r="R24" s="17">
        <v>20</v>
      </c>
      <c r="S24" s="389"/>
      <c r="T24" s="17">
        <v>20</v>
      </c>
      <c r="U24" s="389"/>
      <c r="V24" s="1">
        <v>21</v>
      </c>
      <c r="W24" s="389"/>
      <c r="X24">
        <v>20</v>
      </c>
      <c r="Y24" s="389"/>
      <c r="Z24">
        <v>21</v>
      </c>
      <c r="AA24" s="389"/>
      <c r="AB24">
        <v>21</v>
      </c>
      <c r="AC24" s="389"/>
      <c r="AD24">
        <v>20</v>
      </c>
      <c r="AE24" s="389"/>
    </row>
    <row r="25" spans="1:31" ht="15" customHeight="1">
      <c r="A25" s="397" t="s">
        <v>289</v>
      </c>
      <c r="B25" s="398"/>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row>
    <row r="26" spans="1:31" ht="41.25" customHeight="1">
      <c r="A26" s="397"/>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row>
  </sheetData>
  <mergeCells count="225">
    <mergeCell ref="A25:AE26"/>
    <mergeCell ref="I23:I24"/>
    <mergeCell ref="Q23:Q24"/>
    <mergeCell ref="S23:S24"/>
    <mergeCell ref="U23:U24"/>
    <mergeCell ref="W23:W24"/>
    <mergeCell ref="Y23:Y24"/>
    <mergeCell ref="AA23:AA24"/>
    <mergeCell ref="W21:W22"/>
    <mergeCell ref="Y21:Y22"/>
    <mergeCell ref="AA21:AA22"/>
    <mergeCell ref="AC21:AC22"/>
    <mergeCell ref="AE21:AE22"/>
    <mergeCell ref="A23:A24"/>
    <mergeCell ref="B23:B24"/>
    <mergeCell ref="C23:C24"/>
    <mergeCell ref="D23:D24"/>
    <mergeCell ref="G23:G24"/>
    <mergeCell ref="K23:K24"/>
    <mergeCell ref="M21:M22"/>
    <mergeCell ref="O21:O22"/>
    <mergeCell ref="Q21:Q22"/>
    <mergeCell ref="S21:S22"/>
    <mergeCell ref="U21:U22"/>
    <mergeCell ref="A21:A22"/>
    <mergeCell ref="B21:B22"/>
    <mergeCell ref="C21:C22"/>
    <mergeCell ref="D21:D22"/>
    <mergeCell ref="G21:G22"/>
    <mergeCell ref="I21:I22"/>
    <mergeCell ref="AC23:AC24"/>
    <mergeCell ref="AE23:AE24"/>
    <mergeCell ref="AA19:AA20"/>
    <mergeCell ref="AC19:AC20"/>
    <mergeCell ref="AE19:AE20"/>
    <mergeCell ref="I19:I20"/>
    <mergeCell ref="K19:K20"/>
    <mergeCell ref="M19:M20"/>
    <mergeCell ref="O19:O20"/>
    <mergeCell ref="Q19:Q20"/>
    <mergeCell ref="S19:S20"/>
    <mergeCell ref="K21:K22"/>
    <mergeCell ref="M23:M24"/>
    <mergeCell ref="O23:O24"/>
    <mergeCell ref="W15:W16"/>
    <mergeCell ref="I15:I16"/>
    <mergeCell ref="K15:K16"/>
    <mergeCell ref="Y17:Y18"/>
    <mergeCell ref="AA17:AA18"/>
    <mergeCell ref="AC17:AC18"/>
    <mergeCell ref="AE17:AE18"/>
    <mergeCell ref="A19:A20"/>
    <mergeCell ref="B19:B20"/>
    <mergeCell ref="C19:C20"/>
    <mergeCell ref="D19:D20"/>
    <mergeCell ref="E19:E20"/>
    <mergeCell ref="G19:G20"/>
    <mergeCell ref="M17:M18"/>
    <mergeCell ref="O17:O18"/>
    <mergeCell ref="Q17:Q18"/>
    <mergeCell ref="S17:S18"/>
    <mergeCell ref="U17:U18"/>
    <mergeCell ref="W17:W18"/>
    <mergeCell ref="I17:I18"/>
    <mergeCell ref="K17:K18"/>
    <mergeCell ref="U19:U20"/>
    <mergeCell ref="W19:W20"/>
    <mergeCell ref="Y19:Y20"/>
    <mergeCell ref="A17:A18"/>
    <mergeCell ref="B17:B18"/>
    <mergeCell ref="C17:C18"/>
    <mergeCell ref="D17:D18"/>
    <mergeCell ref="E17:E18"/>
    <mergeCell ref="G17:G18"/>
    <mergeCell ref="M15:M16"/>
    <mergeCell ref="O15:O16"/>
    <mergeCell ref="Q15:Q16"/>
    <mergeCell ref="Y13:Y14"/>
    <mergeCell ref="AA13:AA14"/>
    <mergeCell ref="AC13:AC14"/>
    <mergeCell ref="AE13:AE14"/>
    <mergeCell ref="A15:A16"/>
    <mergeCell ref="B15:B16"/>
    <mergeCell ref="C15:C16"/>
    <mergeCell ref="D15:D16"/>
    <mergeCell ref="E15:E16"/>
    <mergeCell ref="G15:G16"/>
    <mergeCell ref="M13:M14"/>
    <mergeCell ref="O13:O14"/>
    <mergeCell ref="Q13:Q14"/>
    <mergeCell ref="S13:S14"/>
    <mergeCell ref="U13:U14"/>
    <mergeCell ref="W13:W14"/>
    <mergeCell ref="I13:I14"/>
    <mergeCell ref="K13:K14"/>
    <mergeCell ref="Y15:Y16"/>
    <mergeCell ref="AA15:AA16"/>
    <mergeCell ref="AC15:AC16"/>
    <mergeCell ref="AE15:AE16"/>
    <mergeCell ref="S15:S16"/>
    <mergeCell ref="U15:U16"/>
    <mergeCell ref="A13:A14"/>
    <mergeCell ref="B13:B14"/>
    <mergeCell ref="C13:C14"/>
    <mergeCell ref="D13:D14"/>
    <mergeCell ref="E13:E14"/>
    <mergeCell ref="G13:G14"/>
    <mergeCell ref="M11:M12"/>
    <mergeCell ref="O11:O12"/>
    <mergeCell ref="Q11:Q12"/>
    <mergeCell ref="I11:I12"/>
    <mergeCell ref="K11:K12"/>
    <mergeCell ref="A11:A12"/>
    <mergeCell ref="B11:B12"/>
    <mergeCell ref="C11:C12"/>
    <mergeCell ref="D11:D12"/>
    <mergeCell ref="E11:E12"/>
    <mergeCell ref="G11:G12"/>
    <mergeCell ref="K9:K10"/>
    <mergeCell ref="M9:M10"/>
    <mergeCell ref="O9:O10"/>
    <mergeCell ref="Q9:Q10"/>
    <mergeCell ref="S9:S10"/>
    <mergeCell ref="Y11:Y12"/>
    <mergeCell ref="AA11:AA12"/>
    <mergeCell ref="AC11:AC12"/>
    <mergeCell ref="AE11:AE12"/>
    <mergeCell ref="S11:S12"/>
    <mergeCell ref="U11:U12"/>
    <mergeCell ref="W11:W12"/>
    <mergeCell ref="AE7:AE8"/>
    <mergeCell ref="A9:A10"/>
    <mergeCell ref="B9:B10"/>
    <mergeCell ref="C9:C10"/>
    <mergeCell ref="D9:D10"/>
    <mergeCell ref="G9:G10"/>
    <mergeCell ref="S7:S8"/>
    <mergeCell ref="U7:U8"/>
    <mergeCell ref="W7:W8"/>
    <mergeCell ref="Y7:Y8"/>
    <mergeCell ref="AA7:AA8"/>
    <mergeCell ref="AC7:AC8"/>
    <mergeCell ref="I7:I8"/>
    <mergeCell ref="K7:K8"/>
    <mergeCell ref="M7:M8"/>
    <mergeCell ref="O7:O8"/>
    <mergeCell ref="Q7:Q8"/>
    <mergeCell ref="U9:U10"/>
    <mergeCell ref="W9:W10"/>
    <mergeCell ref="Y9:Y10"/>
    <mergeCell ref="AA9:AA10"/>
    <mergeCell ref="AC9:AC10"/>
    <mergeCell ref="AE9:AE10"/>
    <mergeCell ref="I9:I10"/>
    <mergeCell ref="A7:A8"/>
    <mergeCell ref="B7:B8"/>
    <mergeCell ref="C7:C8"/>
    <mergeCell ref="D7:D8"/>
    <mergeCell ref="E7:E8"/>
    <mergeCell ref="G7:G8"/>
    <mergeCell ref="S5:S6"/>
    <mergeCell ref="U5:U6"/>
    <mergeCell ref="W5:W6"/>
    <mergeCell ref="I5:I6"/>
    <mergeCell ref="K5:K6"/>
    <mergeCell ref="M5:M6"/>
    <mergeCell ref="O5:O6"/>
    <mergeCell ref="Q5:Q6"/>
    <mergeCell ref="AC3:AC4"/>
    <mergeCell ref="AE3:AE4"/>
    <mergeCell ref="A5:A6"/>
    <mergeCell ref="B5:B6"/>
    <mergeCell ref="C5:C6"/>
    <mergeCell ref="D5:D6"/>
    <mergeCell ref="G5:G6"/>
    <mergeCell ref="Q3:Q4"/>
    <mergeCell ref="S3:S4"/>
    <mergeCell ref="U3:U4"/>
    <mergeCell ref="W3:W4"/>
    <mergeCell ref="Y3:Y4"/>
    <mergeCell ref="AA3:AA4"/>
    <mergeCell ref="I3:I4"/>
    <mergeCell ref="K3:K4"/>
    <mergeCell ref="M3:M4"/>
    <mergeCell ref="O3:O4"/>
    <mergeCell ref="AE5:AE6"/>
    <mergeCell ref="Y5:Y6"/>
    <mergeCell ref="AA5:AA6"/>
    <mergeCell ref="AC5:AC6"/>
    <mergeCell ref="AD1:AD2"/>
    <mergeCell ref="AE1:AE2"/>
    <mergeCell ref="A3:A4"/>
    <mergeCell ref="B3:B4"/>
    <mergeCell ref="C3:C4"/>
    <mergeCell ref="D3:D4"/>
    <mergeCell ref="E3:E4"/>
    <mergeCell ref="G3:G4"/>
    <mergeCell ref="X1:X2"/>
    <mergeCell ref="Y1:Y2"/>
    <mergeCell ref="Z1:Z2"/>
    <mergeCell ref="AA1:AA2"/>
    <mergeCell ref="AB1:AB2"/>
    <mergeCell ref="AC1:AC2"/>
    <mergeCell ref="R1:R2"/>
    <mergeCell ref="S1:S2"/>
    <mergeCell ref="T1:T2"/>
    <mergeCell ref="U1:U2"/>
    <mergeCell ref="V1:V2"/>
    <mergeCell ref="W1:W2"/>
    <mergeCell ref="K1:K2"/>
    <mergeCell ref="L1:L2"/>
    <mergeCell ref="M1:M2"/>
    <mergeCell ref="N1:N2"/>
    <mergeCell ref="O1:O2"/>
    <mergeCell ref="Q1:Q2"/>
    <mergeCell ref="H1:H2"/>
    <mergeCell ref="I1:I2"/>
    <mergeCell ref="J1:J2"/>
    <mergeCell ref="G1:G2"/>
    <mergeCell ref="A1:A2"/>
    <mergeCell ref="B1:B2"/>
    <mergeCell ref="C1:C2"/>
    <mergeCell ref="D1:D2"/>
    <mergeCell ref="E1:E2"/>
    <mergeCell ref="F1:F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4208F-7675-4A11-AB33-A10409DC9876}">
  <dimension ref="A1:AM26"/>
  <sheetViews>
    <sheetView workbookViewId="0">
      <selection activeCell="AO14" sqref="AO14"/>
    </sheetView>
  </sheetViews>
  <sheetFormatPr defaultRowHeight="15"/>
  <cols>
    <col min="1" max="1" width="4" bestFit="1" customWidth="1"/>
    <col min="2" max="2" width="18.5703125" bestFit="1" customWidth="1"/>
    <col min="3" max="3" width="38.7109375" style="13" bestFit="1" customWidth="1"/>
    <col min="4" max="4" width="9.85546875" hidden="1" customWidth="1"/>
    <col min="5" max="5" width="69.42578125" style="38" hidden="1" customWidth="1"/>
    <col min="6" max="6" width="83.7109375" style="13" hidden="1" customWidth="1"/>
    <col min="7" max="7" width="8.85546875" style="13" customWidth="1"/>
    <col min="8" max="8" width="15.28515625" style="39" hidden="1" customWidth="1"/>
    <col min="9" max="9" width="11.28515625" style="39" hidden="1" customWidth="1"/>
    <col min="10" max="10" width="14.5703125" style="40" hidden="1" customWidth="1"/>
    <col min="11" max="11" width="10.5703125" style="40" hidden="1" customWidth="1"/>
    <col min="12" max="20" width="9.140625" hidden="1" customWidth="1"/>
    <col min="21" max="21" width="0" hidden="1" customWidth="1"/>
    <col min="22" max="23" width="9.140625" hidden="1" customWidth="1"/>
    <col min="24" max="24" width="9.7109375" hidden="1" customWidth="1"/>
    <col min="25" max="25" width="9.140625" customWidth="1"/>
    <col min="26" max="26" width="9.140625" hidden="1" customWidth="1"/>
    <col min="27" max="27" width="9.140625" customWidth="1"/>
    <col min="28" max="28" width="9.140625" hidden="1" customWidth="1"/>
    <col min="29" max="29" width="9.140625" customWidth="1"/>
    <col min="30" max="30" width="9.140625" hidden="1" customWidth="1"/>
    <col min="32" max="32" width="9.140625" hidden="1" customWidth="1"/>
    <col min="33" max="33" width="9.140625" customWidth="1"/>
    <col min="34" max="34" width="9.140625" hidden="1" customWidth="1"/>
    <col min="35" max="35" width="9.140625" customWidth="1"/>
    <col min="36" max="36" width="0" hidden="1" customWidth="1"/>
    <col min="38" max="38" width="0" hidden="1" customWidth="1"/>
  </cols>
  <sheetData>
    <row r="1" spans="1:39" ht="25.5" customHeight="1">
      <c r="A1" s="382" t="s">
        <v>230</v>
      </c>
      <c r="B1" s="382" t="s">
        <v>70</v>
      </c>
      <c r="C1" s="383" t="s">
        <v>231</v>
      </c>
      <c r="D1" s="382" t="s">
        <v>232</v>
      </c>
      <c r="E1" s="383" t="s">
        <v>233</v>
      </c>
      <c r="F1" s="382" t="s">
        <v>234</v>
      </c>
      <c r="G1" s="382" t="s">
        <v>235</v>
      </c>
      <c r="H1" s="382" t="s">
        <v>236</v>
      </c>
      <c r="I1" s="382" t="s">
        <v>33</v>
      </c>
      <c r="J1" s="382" t="s">
        <v>237</v>
      </c>
      <c r="K1" s="382" t="s">
        <v>43</v>
      </c>
      <c r="L1" s="382" t="s">
        <v>238</v>
      </c>
      <c r="M1" s="382" t="s">
        <v>44</v>
      </c>
      <c r="N1" s="382" t="s">
        <v>239</v>
      </c>
      <c r="O1" s="382" t="s">
        <v>61</v>
      </c>
      <c r="P1" s="382" t="s">
        <v>240</v>
      </c>
      <c r="Q1" s="382" t="s">
        <v>64</v>
      </c>
      <c r="R1" s="382" t="s">
        <v>241</v>
      </c>
      <c r="S1" s="382" t="s">
        <v>86</v>
      </c>
      <c r="T1" s="382" t="s">
        <v>89</v>
      </c>
      <c r="U1" s="382" t="s">
        <v>89</v>
      </c>
      <c r="V1" s="382" t="s">
        <v>242</v>
      </c>
      <c r="W1" s="382" t="s">
        <v>97</v>
      </c>
      <c r="X1" s="28" t="s">
        <v>243</v>
      </c>
      <c r="Y1" s="382" t="s">
        <v>125</v>
      </c>
      <c r="Z1" s="382" t="s">
        <v>244</v>
      </c>
      <c r="AA1" s="382" t="s">
        <v>55</v>
      </c>
      <c r="AB1" s="382" t="s">
        <v>245</v>
      </c>
      <c r="AC1" s="382" t="s">
        <v>56</v>
      </c>
      <c r="AD1" s="382" t="s">
        <v>292</v>
      </c>
      <c r="AE1" s="382" t="s">
        <v>27</v>
      </c>
      <c r="AF1" s="382" t="s">
        <v>337</v>
      </c>
      <c r="AG1" s="382" t="s">
        <v>33</v>
      </c>
      <c r="AH1" s="382" t="s">
        <v>403</v>
      </c>
      <c r="AI1" s="382" t="s">
        <v>43</v>
      </c>
      <c r="AJ1" s="382" t="s">
        <v>478</v>
      </c>
      <c r="AK1" s="382" t="s">
        <v>44</v>
      </c>
      <c r="AL1" s="382" t="s">
        <v>525</v>
      </c>
      <c r="AM1" s="382" t="s">
        <v>61</v>
      </c>
    </row>
    <row r="2" spans="1:39">
      <c r="A2" s="382"/>
      <c r="B2" s="382"/>
      <c r="C2" s="383"/>
      <c r="D2" s="382"/>
      <c r="E2" s="383"/>
      <c r="F2" s="382"/>
      <c r="G2" s="382"/>
      <c r="H2" s="382" t="s">
        <v>246</v>
      </c>
      <c r="I2" s="382"/>
      <c r="J2" s="382" t="s">
        <v>246</v>
      </c>
      <c r="K2" s="382"/>
      <c r="L2" s="382"/>
      <c r="M2" s="382"/>
      <c r="N2" s="382"/>
      <c r="O2" s="382"/>
      <c r="P2" s="382"/>
      <c r="Q2" s="382"/>
      <c r="R2" s="382"/>
      <c r="S2" s="382"/>
      <c r="T2" s="382"/>
      <c r="U2" s="382"/>
      <c r="V2" s="382"/>
      <c r="W2" s="382"/>
      <c r="X2" s="28" t="s">
        <v>247</v>
      </c>
      <c r="Y2" s="382"/>
      <c r="Z2" s="382"/>
      <c r="AA2" s="382"/>
      <c r="AB2" s="382"/>
      <c r="AC2" s="382"/>
      <c r="AD2" s="382"/>
      <c r="AE2" s="382"/>
      <c r="AF2" s="382"/>
      <c r="AG2" s="382"/>
      <c r="AH2" s="382"/>
      <c r="AI2" s="382"/>
      <c r="AJ2" s="382"/>
      <c r="AK2" s="382"/>
      <c r="AL2" s="382"/>
      <c r="AM2" s="382"/>
    </row>
    <row r="3" spans="1:39">
      <c r="A3" s="384">
        <v>1</v>
      </c>
      <c r="B3" s="385" t="s">
        <v>47</v>
      </c>
      <c r="C3" s="386" t="s">
        <v>290</v>
      </c>
      <c r="D3" s="387" t="s">
        <v>248</v>
      </c>
      <c r="E3" s="386" t="s">
        <v>249</v>
      </c>
      <c r="F3" s="29" t="s">
        <v>250</v>
      </c>
      <c r="G3" s="388">
        <v>0.95</v>
      </c>
      <c r="H3" s="31">
        <v>1660</v>
      </c>
      <c r="I3" s="390">
        <v>0.9707602339181286</v>
      </c>
      <c r="J3" s="31">
        <v>1725</v>
      </c>
      <c r="K3" s="390">
        <v>0.9896729776247849</v>
      </c>
      <c r="L3" s="32">
        <v>1582</v>
      </c>
      <c r="M3" s="390">
        <v>1</v>
      </c>
      <c r="N3" s="33">
        <v>602</v>
      </c>
      <c r="O3" s="390">
        <v>1</v>
      </c>
      <c r="P3" s="1">
        <v>739</v>
      </c>
      <c r="Q3" s="390">
        <v>1</v>
      </c>
      <c r="R3" s="17">
        <v>695</v>
      </c>
      <c r="S3" s="389">
        <f>R3/R4</f>
        <v>1</v>
      </c>
      <c r="T3" s="34">
        <f>'[5]SLA WW'!H3</f>
        <v>725</v>
      </c>
      <c r="U3" s="389">
        <f>T3/T4</f>
        <v>1</v>
      </c>
      <c r="V3" s="24">
        <v>809</v>
      </c>
      <c r="W3" s="389">
        <f>V3/V4</f>
        <v>1</v>
      </c>
      <c r="X3" s="17">
        <f>'[6]SLA WW'!H3</f>
        <v>901</v>
      </c>
      <c r="Y3" s="389">
        <f>X3/X4</f>
        <v>1</v>
      </c>
      <c r="Z3" s="17">
        <f>'[7]SLA WW'!H3</f>
        <v>808</v>
      </c>
      <c r="AA3" s="389">
        <v>1</v>
      </c>
      <c r="AB3" s="17">
        <f>'[2]SLA WW'!H3</f>
        <v>706</v>
      </c>
      <c r="AC3" s="389">
        <f>AB3/AB4</f>
        <v>1</v>
      </c>
      <c r="AD3" s="1">
        <f>'2023'!I4</f>
        <v>814</v>
      </c>
      <c r="AE3" s="389">
        <f>AD3/AD4</f>
        <v>1</v>
      </c>
      <c r="AF3">
        <v>629</v>
      </c>
      <c r="AG3" s="389">
        <v>1</v>
      </c>
      <c r="AH3">
        <v>863</v>
      </c>
      <c r="AI3" s="389">
        <f>AH3/AH4</f>
        <v>1</v>
      </c>
      <c r="AJ3">
        <f>SUM('[3]Central Services'!Z10:Z11)</f>
        <v>681</v>
      </c>
      <c r="AK3" s="389">
        <f>AJ3/AJ4</f>
        <v>1</v>
      </c>
      <c r="AL3">
        <f>'2023'!M4</f>
        <v>626</v>
      </c>
      <c r="AM3" s="389">
        <v>1</v>
      </c>
    </row>
    <row r="4" spans="1:39">
      <c r="A4" s="384"/>
      <c r="B4" s="385"/>
      <c r="C4" s="386"/>
      <c r="D4" s="387"/>
      <c r="E4" s="386"/>
      <c r="F4" s="29" t="s">
        <v>251</v>
      </c>
      <c r="G4" s="388"/>
      <c r="H4" s="31">
        <v>1710</v>
      </c>
      <c r="I4" s="390"/>
      <c r="J4" s="31">
        <v>1743</v>
      </c>
      <c r="K4" s="390"/>
      <c r="L4" s="32">
        <v>1582</v>
      </c>
      <c r="M4" s="390"/>
      <c r="N4" s="33">
        <v>602</v>
      </c>
      <c r="O4" s="390"/>
      <c r="P4" s="1">
        <v>739</v>
      </c>
      <c r="Q4" s="390"/>
      <c r="R4" s="17">
        <v>695</v>
      </c>
      <c r="S4" s="389"/>
      <c r="T4" s="34">
        <f>'[5]SLA WW'!H4</f>
        <v>725</v>
      </c>
      <c r="U4" s="389"/>
      <c r="V4" s="24">
        <v>809</v>
      </c>
      <c r="W4" s="389"/>
      <c r="X4" s="17">
        <f>'[6]SLA WW'!H4</f>
        <v>901</v>
      </c>
      <c r="Y4" s="389"/>
      <c r="Z4" s="17">
        <f>'[7]SLA WW'!H4</f>
        <v>808</v>
      </c>
      <c r="AA4" s="389"/>
      <c r="AB4" s="17">
        <f>'[2]SLA WW'!H4</f>
        <v>706</v>
      </c>
      <c r="AC4" s="389"/>
      <c r="AD4" s="1">
        <f>'2023'!I4</f>
        <v>814</v>
      </c>
      <c r="AE4" s="389"/>
      <c r="AF4">
        <v>629</v>
      </c>
      <c r="AG4" s="389"/>
      <c r="AH4">
        <v>863</v>
      </c>
      <c r="AI4" s="389"/>
      <c r="AJ4">
        <f>SUM('[3]Central Services'!Z10:Z11)</f>
        <v>681</v>
      </c>
      <c r="AK4" s="389"/>
      <c r="AL4">
        <f>'2023'!M4</f>
        <v>626</v>
      </c>
      <c r="AM4" s="389"/>
    </row>
    <row r="5" spans="1:39">
      <c r="A5" s="384">
        <v>2</v>
      </c>
      <c r="B5" s="385" t="s">
        <v>47</v>
      </c>
      <c r="C5" s="386" t="s">
        <v>291</v>
      </c>
      <c r="D5" s="387" t="s">
        <v>252</v>
      </c>
      <c r="E5" s="30" t="s">
        <v>253</v>
      </c>
      <c r="F5" s="29" t="s">
        <v>254</v>
      </c>
      <c r="G5" s="388">
        <v>0.97</v>
      </c>
      <c r="H5" s="31">
        <v>1695</v>
      </c>
      <c r="I5" s="399">
        <v>0.99122807017543857</v>
      </c>
      <c r="J5" s="31">
        <v>1734</v>
      </c>
      <c r="K5" s="399">
        <v>0.99483648881239239</v>
      </c>
      <c r="L5" s="32">
        <v>1580</v>
      </c>
      <c r="M5" s="399">
        <v>0.99870000000000003</v>
      </c>
      <c r="N5" s="2">
        <v>10428</v>
      </c>
      <c r="O5" s="392">
        <f>N5/N6</f>
        <v>1</v>
      </c>
      <c r="P5" s="17">
        <v>10869</v>
      </c>
      <c r="Q5" s="392">
        <f>P5/P6</f>
        <v>1</v>
      </c>
      <c r="R5" s="17">
        <v>12127</v>
      </c>
      <c r="S5" s="389">
        <f>R5/R6</f>
        <v>1</v>
      </c>
      <c r="T5" s="35">
        <f>'[5]SLA WW'!H5</f>
        <v>14051</v>
      </c>
      <c r="U5" s="389">
        <f>T5/T6</f>
        <v>0.99971540377090007</v>
      </c>
      <c r="V5" s="24">
        <v>12723</v>
      </c>
      <c r="W5" s="389">
        <f>V5/V6</f>
        <v>1</v>
      </c>
      <c r="X5" s="24">
        <f>'[6]SLA WW'!H5</f>
        <v>12032</v>
      </c>
      <c r="Y5" s="389">
        <f>X5/X6</f>
        <v>1</v>
      </c>
      <c r="Z5" s="24">
        <f>'[7]SLA WW'!H5</f>
        <v>13575</v>
      </c>
      <c r="AA5" s="389">
        <v>1</v>
      </c>
      <c r="AB5" s="24">
        <f>'[2]SLA WW'!H5</f>
        <v>12629</v>
      </c>
      <c r="AC5" s="389">
        <f>AB5/AB6</f>
        <v>1</v>
      </c>
      <c r="AD5" s="1">
        <f>'[4]Silver Rock'!AC9-'[4]Silver Rock'!AF9</f>
        <v>14160</v>
      </c>
      <c r="AE5" s="389">
        <f>AD5/AD6</f>
        <v>0.99922376684778769</v>
      </c>
      <c r="AF5">
        <v>14061</v>
      </c>
      <c r="AG5" s="389">
        <v>0.99943137394271098</v>
      </c>
      <c r="AH5">
        <v>12841</v>
      </c>
      <c r="AI5" s="389">
        <f>AH5/AH6</f>
        <v>0.9992218504396545</v>
      </c>
      <c r="AJ5">
        <f>SUM('[3]Silver Rock'!AA9-'[3]Silver Rock'!AD9)</f>
        <v>14320</v>
      </c>
      <c r="AK5" s="389">
        <f>AJ5/AJ6</f>
        <v>0.99958118106938432</v>
      </c>
      <c r="AL5" t="e">
        <f>#REF!-#REF!</f>
        <v>#REF!</v>
      </c>
      <c r="AM5" s="389">
        <v>0.99943201987930419</v>
      </c>
    </row>
    <row r="6" spans="1:39">
      <c r="A6" s="384"/>
      <c r="B6" s="385"/>
      <c r="C6" s="386"/>
      <c r="D6" s="387"/>
      <c r="E6" s="30" t="s">
        <v>255</v>
      </c>
      <c r="F6" s="29" t="s">
        <v>256</v>
      </c>
      <c r="G6" s="388"/>
      <c r="H6" s="31">
        <v>1710</v>
      </c>
      <c r="I6" s="399"/>
      <c r="J6" s="31">
        <v>1743</v>
      </c>
      <c r="K6" s="399"/>
      <c r="L6" s="32">
        <v>1582</v>
      </c>
      <c r="M6" s="399"/>
      <c r="N6" s="2">
        <v>10428</v>
      </c>
      <c r="O6" s="392"/>
      <c r="P6" s="17">
        <v>10869</v>
      </c>
      <c r="Q6" s="392"/>
      <c r="R6" s="17">
        <v>12127</v>
      </c>
      <c r="S6" s="389"/>
      <c r="T6" s="35">
        <f>'[5]SLA WW'!H6</f>
        <v>14055</v>
      </c>
      <c r="U6" s="389"/>
      <c r="V6" s="24">
        <v>12723</v>
      </c>
      <c r="W6" s="389"/>
      <c r="X6" s="24">
        <f>'[6]SLA WW'!H6</f>
        <v>12032</v>
      </c>
      <c r="Y6" s="389"/>
      <c r="Z6" s="24">
        <f>'[7]SLA WW'!H6</f>
        <v>13575</v>
      </c>
      <c r="AA6" s="389"/>
      <c r="AB6" s="24">
        <f>'[2]SLA WW'!H6</f>
        <v>12629</v>
      </c>
      <c r="AC6" s="389"/>
      <c r="AD6" s="1">
        <f>'[4]Silver Rock'!AC9</f>
        <v>14171</v>
      </c>
      <c r="AE6" s="389"/>
      <c r="AF6" s="1">
        <v>14069</v>
      </c>
      <c r="AG6" s="389"/>
      <c r="AH6" s="1">
        <v>12851</v>
      </c>
      <c r="AI6" s="389"/>
      <c r="AJ6" s="1">
        <f>'[3]Silver Rock'!AA9</f>
        <v>14326</v>
      </c>
      <c r="AK6" s="389"/>
      <c r="AL6" s="1" t="e">
        <f>#REF!</f>
        <v>#REF!</v>
      </c>
      <c r="AM6" s="389"/>
    </row>
    <row r="7" spans="1:39" ht="15" customHeight="1">
      <c r="A7" s="384">
        <v>3</v>
      </c>
      <c r="B7" s="385" t="s">
        <v>47</v>
      </c>
      <c r="C7" s="386" t="s">
        <v>293</v>
      </c>
      <c r="D7" s="387" t="s">
        <v>248</v>
      </c>
      <c r="E7" s="391" t="s">
        <v>257</v>
      </c>
      <c r="F7" s="29" t="s">
        <v>258</v>
      </c>
      <c r="G7" s="388">
        <v>0.95</v>
      </c>
      <c r="H7" s="31">
        <v>610</v>
      </c>
      <c r="I7" s="400">
        <v>0.93701996927803377</v>
      </c>
      <c r="J7" s="31">
        <v>743</v>
      </c>
      <c r="K7" s="401">
        <v>1</v>
      </c>
      <c r="L7" s="32">
        <v>755</v>
      </c>
      <c r="M7" s="401">
        <v>1</v>
      </c>
      <c r="N7" s="2">
        <v>602</v>
      </c>
      <c r="O7" s="389">
        <f>N7/N8</f>
        <v>1</v>
      </c>
      <c r="P7" s="1">
        <v>739</v>
      </c>
      <c r="Q7" s="389">
        <f>P7/P8</f>
        <v>1</v>
      </c>
      <c r="R7" s="17">
        <v>695</v>
      </c>
      <c r="S7" s="389">
        <f>R7/R8</f>
        <v>1</v>
      </c>
      <c r="T7" s="34">
        <f>'[5]SLA WW'!H7</f>
        <v>725</v>
      </c>
      <c r="U7" s="389">
        <f>T7/T8</f>
        <v>1</v>
      </c>
      <c r="V7" s="17">
        <v>809</v>
      </c>
      <c r="W7" s="389">
        <f>V7/V8</f>
        <v>1</v>
      </c>
      <c r="X7" s="17">
        <f>'[6]SLA WW'!H7</f>
        <v>901</v>
      </c>
      <c r="Y7" s="389">
        <f>X7/X8</f>
        <v>1</v>
      </c>
      <c r="Z7" s="17">
        <f>'[7]SLA WW'!H7</f>
        <v>808</v>
      </c>
      <c r="AA7" s="389">
        <v>1</v>
      </c>
      <c r="AB7" s="17">
        <f>'[2]SLA WW'!H7</f>
        <v>706</v>
      </c>
      <c r="AC7" s="389">
        <f>AB7/AB8</f>
        <v>1</v>
      </c>
      <c r="AD7" s="1">
        <f>[4]AP!Y26</f>
        <v>636</v>
      </c>
      <c r="AE7" s="389">
        <f>AD7/AD8</f>
        <v>1</v>
      </c>
      <c r="AF7">
        <v>972</v>
      </c>
      <c r="AG7" s="389">
        <v>1</v>
      </c>
      <c r="AH7">
        <v>998</v>
      </c>
      <c r="AI7" s="389">
        <f>AH7/AH8</f>
        <v>1</v>
      </c>
      <c r="AJ7" s="67">
        <f>[3]Volume!L6</f>
        <v>902</v>
      </c>
      <c r="AK7" s="389">
        <f>AJ7/AJ8</f>
        <v>1</v>
      </c>
      <c r="AL7" s="67">
        <f>'2023'!M6</f>
        <v>778</v>
      </c>
      <c r="AM7" s="389">
        <v>1</v>
      </c>
    </row>
    <row r="8" spans="1:39">
      <c r="A8" s="384"/>
      <c r="B8" s="385"/>
      <c r="C8" s="386"/>
      <c r="D8" s="387"/>
      <c r="E8" s="391"/>
      <c r="F8" s="29" t="s">
        <v>259</v>
      </c>
      <c r="G8" s="388"/>
      <c r="H8" s="31">
        <v>651</v>
      </c>
      <c r="I8" s="400"/>
      <c r="J8" s="31">
        <v>743</v>
      </c>
      <c r="K8" s="401"/>
      <c r="L8" s="32">
        <v>755</v>
      </c>
      <c r="M8" s="401"/>
      <c r="N8" s="2">
        <v>602</v>
      </c>
      <c r="O8" s="389"/>
      <c r="P8" s="1">
        <v>739</v>
      </c>
      <c r="Q8" s="389"/>
      <c r="R8" s="17">
        <v>695</v>
      </c>
      <c r="S8" s="389"/>
      <c r="T8" s="34">
        <f>'[5]SLA WW'!H8</f>
        <v>725</v>
      </c>
      <c r="U8" s="389"/>
      <c r="V8" s="17">
        <v>809</v>
      </c>
      <c r="W8" s="389"/>
      <c r="X8" s="17">
        <f>'[6]SLA WW'!H8</f>
        <v>901</v>
      </c>
      <c r="Y8" s="389"/>
      <c r="Z8" s="17">
        <f>'[7]SLA WW'!H8</f>
        <v>808</v>
      </c>
      <c r="AA8" s="389"/>
      <c r="AB8" s="17">
        <f>'[2]SLA WW'!H8</f>
        <v>706</v>
      </c>
      <c r="AC8" s="389"/>
      <c r="AD8" s="1">
        <f>[4]AP!Y26</f>
        <v>636</v>
      </c>
      <c r="AE8" s="389"/>
      <c r="AF8">
        <v>972</v>
      </c>
      <c r="AG8" s="389"/>
      <c r="AH8">
        <v>998</v>
      </c>
      <c r="AI8" s="389"/>
      <c r="AJ8" s="51">
        <f>[3]Volume!L6</f>
        <v>902</v>
      </c>
      <c r="AK8" s="389"/>
      <c r="AL8" s="51">
        <f>'2023'!M6</f>
        <v>778</v>
      </c>
      <c r="AM8" s="389"/>
    </row>
    <row r="9" spans="1:39">
      <c r="A9" s="384">
        <v>4</v>
      </c>
      <c r="B9" s="385" t="s">
        <v>48</v>
      </c>
      <c r="C9" s="386" t="s">
        <v>260</v>
      </c>
      <c r="D9" s="387" t="s">
        <v>248</v>
      </c>
      <c r="E9" s="30" t="s">
        <v>261</v>
      </c>
      <c r="F9" s="29" t="s">
        <v>262</v>
      </c>
      <c r="G9" s="388">
        <v>0.98</v>
      </c>
      <c r="H9" s="31">
        <v>888</v>
      </c>
      <c r="I9" s="402">
        <v>1</v>
      </c>
      <c r="J9" s="31">
        <v>667</v>
      </c>
      <c r="K9" s="399">
        <v>1</v>
      </c>
      <c r="L9" s="32">
        <v>665</v>
      </c>
      <c r="M9" s="401">
        <v>1</v>
      </c>
      <c r="N9" s="2">
        <v>670</v>
      </c>
      <c r="O9" s="389">
        <f>N9/N10</f>
        <v>1</v>
      </c>
      <c r="P9" s="1">
        <v>467</v>
      </c>
      <c r="Q9" s="389">
        <f>P9/P10</f>
        <v>0.99361702127659579</v>
      </c>
      <c r="R9" s="17">
        <v>659</v>
      </c>
      <c r="S9" s="389">
        <f>R9/R10</f>
        <v>1</v>
      </c>
      <c r="T9" s="34">
        <v>385</v>
      </c>
      <c r="U9" s="389">
        <f>T9/T10</f>
        <v>1</v>
      </c>
      <c r="V9" s="17">
        <v>613</v>
      </c>
      <c r="W9" s="389">
        <f>V9/V10</f>
        <v>1</v>
      </c>
      <c r="X9" s="17">
        <f>'[6]SLA WW'!H9</f>
        <v>623</v>
      </c>
      <c r="Y9" s="389">
        <f>X9/X10</f>
        <v>1</v>
      </c>
      <c r="Z9" s="17">
        <f>'[7]SLA WW'!H9</f>
        <v>707</v>
      </c>
      <c r="AA9" s="389">
        <v>1</v>
      </c>
      <c r="AB9" s="17">
        <f>'[2]SLA WW'!H9</f>
        <v>661</v>
      </c>
      <c r="AC9" s="389">
        <f>AB9/AB10</f>
        <v>1</v>
      </c>
      <c r="AD9" s="1">
        <f>[4]AR!Y26</f>
        <v>701</v>
      </c>
      <c r="AE9" s="389">
        <f>AD9/AD10</f>
        <v>1</v>
      </c>
      <c r="AF9">
        <v>683</v>
      </c>
      <c r="AG9" s="389">
        <v>1</v>
      </c>
      <c r="AH9">
        <v>590</v>
      </c>
      <c r="AI9" s="389">
        <f>AH9/AH10</f>
        <v>1</v>
      </c>
      <c r="AJ9">
        <f>[3]Volume!L14</f>
        <v>578</v>
      </c>
      <c r="AK9" s="389">
        <f>AJ9/AJ10</f>
        <v>1</v>
      </c>
      <c r="AL9">
        <f>'2023'!M14</f>
        <v>588</v>
      </c>
      <c r="AM9" s="389">
        <v>1</v>
      </c>
    </row>
    <row r="10" spans="1:39">
      <c r="A10" s="384"/>
      <c r="B10" s="385"/>
      <c r="C10" s="386"/>
      <c r="D10" s="387"/>
      <c r="E10" s="36" t="s">
        <v>263</v>
      </c>
      <c r="F10" s="29" t="s">
        <v>264</v>
      </c>
      <c r="G10" s="388"/>
      <c r="H10" s="31">
        <v>888</v>
      </c>
      <c r="I10" s="402"/>
      <c r="J10" s="31">
        <v>667</v>
      </c>
      <c r="K10" s="399"/>
      <c r="L10" s="32">
        <v>665</v>
      </c>
      <c r="M10" s="401"/>
      <c r="N10" s="2">
        <v>670</v>
      </c>
      <c r="O10" s="389"/>
      <c r="P10" s="1">
        <v>470</v>
      </c>
      <c r="Q10" s="389"/>
      <c r="R10" s="17">
        <v>659</v>
      </c>
      <c r="S10" s="389"/>
      <c r="T10" s="34">
        <v>385</v>
      </c>
      <c r="U10" s="389"/>
      <c r="V10" s="17">
        <v>613</v>
      </c>
      <c r="W10" s="389"/>
      <c r="X10" s="17">
        <f>'[6]SLA WW'!H11</f>
        <v>623</v>
      </c>
      <c r="Y10" s="389"/>
      <c r="Z10" s="17">
        <f>'[7]SLA WW'!H11</f>
        <v>707</v>
      </c>
      <c r="AA10" s="389"/>
      <c r="AB10" s="17">
        <f>'[2]SLA WW'!H11</f>
        <v>661</v>
      </c>
      <c r="AC10" s="389"/>
      <c r="AD10" s="1">
        <f>[4]AR!Y26</f>
        <v>701</v>
      </c>
      <c r="AE10" s="389"/>
      <c r="AF10">
        <v>683</v>
      </c>
      <c r="AG10" s="389"/>
      <c r="AH10">
        <v>590</v>
      </c>
      <c r="AI10" s="389"/>
      <c r="AJ10">
        <f>[3]Volume!L14</f>
        <v>578</v>
      </c>
      <c r="AK10" s="389"/>
      <c r="AL10">
        <f>'2023'!M14</f>
        <v>588</v>
      </c>
      <c r="AM10" s="389"/>
    </row>
    <row r="11" spans="1:39" ht="15" customHeight="1">
      <c r="A11" s="384">
        <v>5</v>
      </c>
      <c r="B11" s="385" t="s">
        <v>48</v>
      </c>
      <c r="C11" s="386" t="s">
        <v>265</v>
      </c>
      <c r="D11" s="387" t="s">
        <v>248</v>
      </c>
      <c r="E11" s="386" t="s">
        <v>266</v>
      </c>
      <c r="F11" s="29" t="s">
        <v>267</v>
      </c>
      <c r="G11" s="388">
        <v>0.98</v>
      </c>
      <c r="H11" s="31">
        <v>852</v>
      </c>
      <c r="I11" s="400">
        <v>0.87835051546391751</v>
      </c>
      <c r="J11" s="31">
        <v>1045</v>
      </c>
      <c r="K11" s="401">
        <v>0.98399246704331456</v>
      </c>
      <c r="L11" s="32">
        <v>939</v>
      </c>
      <c r="M11" s="401">
        <v>0.98429999999999995</v>
      </c>
      <c r="N11" s="2">
        <v>982</v>
      </c>
      <c r="O11" s="389">
        <f>N11/N12</f>
        <v>0.98199999999999998</v>
      </c>
      <c r="P11" s="1">
        <v>835</v>
      </c>
      <c r="Q11" s="389">
        <f>P11/P12</f>
        <v>0.99404761904761907</v>
      </c>
      <c r="R11" s="17">
        <v>843</v>
      </c>
      <c r="S11" s="389">
        <f>R11/R12</f>
        <v>0.98711943793911006</v>
      </c>
      <c r="T11" s="34">
        <f>'[5]SLA WW'!H13</f>
        <v>1297</v>
      </c>
      <c r="U11" s="389">
        <f>T11/T12</f>
        <v>0.98406676783004554</v>
      </c>
      <c r="V11" s="17">
        <v>973</v>
      </c>
      <c r="W11" s="389">
        <f>V11/V12</f>
        <v>0.98781725888324878</v>
      </c>
      <c r="X11" s="17">
        <f>'[6]SLA WW'!H13</f>
        <v>1315</v>
      </c>
      <c r="Y11" s="389">
        <f>X11/X12</f>
        <v>0.99696739954510993</v>
      </c>
      <c r="Z11" s="17">
        <f>'[7]SLA WW'!H13</f>
        <v>1355</v>
      </c>
      <c r="AA11" s="389">
        <v>0.98760932944606417</v>
      </c>
      <c r="AB11" s="17">
        <f>'[2]SLA WW'!H13</f>
        <v>1146</v>
      </c>
      <c r="AC11" s="389">
        <f>AB11/AB12</f>
        <v>0.98369098712446357</v>
      </c>
      <c r="AD11" s="1">
        <f>'[4]Phone Support'!B23-'[4]Phone Support'!B24</f>
        <v>1389</v>
      </c>
      <c r="AE11" s="389">
        <f>AD11/AD12</f>
        <v>0.9816254416961131</v>
      </c>
      <c r="AF11" s="1">
        <v>1390</v>
      </c>
      <c r="AG11" s="389">
        <v>0.98025387870239777</v>
      </c>
      <c r="AH11" s="1">
        <v>1359</v>
      </c>
      <c r="AI11" s="389">
        <f>AH11/AH12</f>
        <v>0.99052478134110788</v>
      </c>
      <c r="AJ11" s="68">
        <f>([3]Volume!L27-13)</f>
        <v>986</v>
      </c>
      <c r="AK11" s="389">
        <f>AJ11/AJ12</f>
        <v>0.98698698698698695</v>
      </c>
      <c r="AL11" s="68" t="e">
        <f>'Phone Support'!#REF!</f>
        <v>#REF!</v>
      </c>
      <c r="AM11" s="389">
        <v>0.98360655737704916</v>
      </c>
    </row>
    <row r="12" spans="1:39">
      <c r="A12" s="384"/>
      <c r="B12" s="385"/>
      <c r="C12" s="386"/>
      <c r="D12" s="387"/>
      <c r="E12" s="386"/>
      <c r="F12" s="29" t="s">
        <v>268</v>
      </c>
      <c r="G12" s="388"/>
      <c r="H12" s="31">
        <v>970</v>
      </c>
      <c r="I12" s="400"/>
      <c r="J12" s="31">
        <v>1062</v>
      </c>
      <c r="K12" s="401"/>
      <c r="L12" s="32">
        <v>954</v>
      </c>
      <c r="M12" s="401"/>
      <c r="N12" s="2">
        <v>1000</v>
      </c>
      <c r="O12" s="389"/>
      <c r="P12" s="1">
        <v>840</v>
      </c>
      <c r="Q12" s="389"/>
      <c r="R12" s="17">
        <v>854</v>
      </c>
      <c r="S12" s="389"/>
      <c r="T12" s="34">
        <f>'[5]SLA WW'!H14</f>
        <v>1318</v>
      </c>
      <c r="U12" s="389"/>
      <c r="V12" s="17">
        <v>985</v>
      </c>
      <c r="W12" s="389"/>
      <c r="X12" s="17">
        <f>'[6]SLA WW'!H14</f>
        <v>1319</v>
      </c>
      <c r="Y12" s="389"/>
      <c r="Z12" s="17">
        <f>'[7]SLA WW'!H14</f>
        <v>1372</v>
      </c>
      <c r="AA12" s="389"/>
      <c r="AB12" s="17">
        <f>'[2]SLA WW'!H14</f>
        <v>1165</v>
      </c>
      <c r="AC12" s="389"/>
      <c r="AD12" s="1">
        <f>'[4]Phone Support'!B23</f>
        <v>1415</v>
      </c>
      <c r="AE12" s="389"/>
      <c r="AF12" s="1">
        <v>1418</v>
      </c>
      <c r="AG12" s="389"/>
      <c r="AH12" s="1">
        <v>1372</v>
      </c>
      <c r="AI12" s="389"/>
      <c r="AJ12" s="68">
        <f>[3]Volume!L27</f>
        <v>999</v>
      </c>
      <c r="AK12" s="389"/>
      <c r="AL12" s="68" t="e">
        <f>'Phone Support'!#REF!</f>
        <v>#REF!</v>
      </c>
      <c r="AM12" s="389"/>
    </row>
    <row r="13" spans="1:39">
      <c r="A13" s="384">
        <v>6</v>
      </c>
      <c r="B13" s="385" t="s">
        <v>48</v>
      </c>
      <c r="C13" s="386" t="s">
        <v>265</v>
      </c>
      <c r="D13" s="387" t="s">
        <v>248</v>
      </c>
      <c r="E13" s="391" t="s">
        <v>269</v>
      </c>
      <c r="F13" s="29" t="s">
        <v>270</v>
      </c>
      <c r="G13" s="388">
        <v>0.98</v>
      </c>
      <c r="H13" s="31">
        <v>970</v>
      </c>
      <c r="I13" s="402">
        <v>1</v>
      </c>
      <c r="J13" s="31">
        <v>1062</v>
      </c>
      <c r="K13" s="399">
        <v>1</v>
      </c>
      <c r="L13" s="32">
        <v>954</v>
      </c>
      <c r="M13" s="401">
        <v>1</v>
      </c>
      <c r="N13" s="2">
        <v>1000</v>
      </c>
      <c r="O13" s="389">
        <f>N13/N14</f>
        <v>1</v>
      </c>
      <c r="P13" s="1">
        <v>840</v>
      </c>
      <c r="Q13" s="389">
        <f>P13/P14</f>
        <v>1</v>
      </c>
      <c r="R13" s="17">
        <v>854</v>
      </c>
      <c r="S13" s="389">
        <f>R13/R14</f>
        <v>1</v>
      </c>
      <c r="T13" s="34">
        <v>704</v>
      </c>
      <c r="U13" s="389">
        <f>T13/T14</f>
        <v>1</v>
      </c>
      <c r="V13" s="17">
        <v>985</v>
      </c>
      <c r="W13" s="389">
        <f>V13/V14</f>
        <v>1</v>
      </c>
      <c r="X13" s="17">
        <f>'[6]SLA WW'!H15</f>
        <v>1319</v>
      </c>
      <c r="Y13" s="389">
        <f>X13/X14</f>
        <v>1</v>
      </c>
      <c r="Z13" s="17">
        <f>'[7]SLA WW'!H15</f>
        <v>1372</v>
      </c>
      <c r="AA13" s="389">
        <v>1</v>
      </c>
      <c r="AB13" s="17">
        <f>'[2]SLA WW'!H15</f>
        <v>1157</v>
      </c>
      <c r="AC13" s="389">
        <f>AB13/AB14</f>
        <v>0.99313304721030038</v>
      </c>
      <c r="AD13" s="1">
        <f>'[4]Phone Support'!B23-'[4]Phone Support'!B25</f>
        <v>1411</v>
      </c>
      <c r="AE13" s="389">
        <f>AD13/AD14</f>
        <v>0.99717314487632513</v>
      </c>
      <c r="AF13" s="1">
        <v>1406</v>
      </c>
      <c r="AG13" s="389">
        <v>0.9915373765867419</v>
      </c>
      <c r="AH13" s="1">
        <v>1369</v>
      </c>
      <c r="AI13" s="389">
        <f>AH13/AH14</f>
        <v>0.99781341107871724</v>
      </c>
      <c r="AJ13" s="68">
        <f>[3]Volume!L27-5</f>
        <v>994</v>
      </c>
      <c r="AK13" s="389">
        <f>AJ13/AJ14</f>
        <v>0.994994994994995</v>
      </c>
      <c r="AL13" s="68">
        <v>853</v>
      </c>
      <c r="AM13" s="389">
        <v>0.99882903981264637</v>
      </c>
    </row>
    <row r="14" spans="1:39">
      <c r="A14" s="384"/>
      <c r="B14" s="385"/>
      <c r="C14" s="386"/>
      <c r="D14" s="387"/>
      <c r="E14" s="391"/>
      <c r="F14" s="29" t="s">
        <v>271</v>
      </c>
      <c r="G14" s="388"/>
      <c r="H14" s="31">
        <v>970</v>
      </c>
      <c r="I14" s="402"/>
      <c r="J14" s="31">
        <v>1062</v>
      </c>
      <c r="K14" s="399"/>
      <c r="L14" s="32">
        <v>954</v>
      </c>
      <c r="M14" s="401"/>
      <c r="N14" s="2">
        <v>1000</v>
      </c>
      <c r="O14" s="389"/>
      <c r="P14" s="1">
        <v>840</v>
      </c>
      <c r="Q14" s="389"/>
      <c r="R14" s="17">
        <v>854</v>
      </c>
      <c r="S14" s="389"/>
      <c r="T14" s="34">
        <v>704</v>
      </c>
      <c r="U14" s="389"/>
      <c r="V14" s="17">
        <v>985</v>
      </c>
      <c r="W14" s="389"/>
      <c r="X14" s="17">
        <f>'[6]SLA WW'!H17</f>
        <v>1319</v>
      </c>
      <c r="Y14" s="389"/>
      <c r="Z14" s="17">
        <f>'[7]SLA WW'!H17</f>
        <v>1372</v>
      </c>
      <c r="AA14" s="389"/>
      <c r="AB14" s="17">
        <f>'[2]SLA WW'!H17</f>
        <v>1165</v>
      </c>
      <c r="AC14" s="389"/>
      <c r="AD14" s="1">
        <f>'[4]Phone Support'!B23</f>
        <v>1415</v>
      </c>
      <c r="AE14" s="389"/>
      <c r="AF14">
        <v>1418</v>
      </c>
      <c r="AG14" s="389"/>
      <c r="AH14">
        <v>1372</v>
      </c>
      <c r="AI14" s="389"/>
      <c r="AJ14" s="51">
        <f>[3]Volume!L27</f>
        <v>999</v>
      </c>
      <c r="AK14" s="389"/>
      <c r="AL14" s="51">
        <v>854</v>
      </c>
      <c r="AM14" s="389"/>
    </row>
    <row r="15" spans="1:39">
      <c r="A15" s="384">
        <v>7</v>
      </c>
      <c r="B15" s="391" t="s">
        <v>8</v>
      </c>
      <c r="C15" s="391" t="s">
        <v>272</v>
      </c>
      <c r="D15" s="387" t="s">
        <v>248</v>
      </c>
      <c r="E15" s="391" t="s">
        <v>273</v>
      </c>
      <c r="F15" s="29" t="s">
        <v>274</v>
      </c>
      <c r="G15" s="393">
        <v>0.98</v>
      </c>
      <c r="H15" s="31">
        <v>3077</v>
      </c>
      <c r="I15" s="399">
        <v>0.9954707214493691</v>
      </c>
      <c r="J15" s="17">
        <v>8256</v>
      </c>
      <c r="K15" s="392">
        <f>J15/J16</f>
        <v>0.99782451051486587</v>
      </c>
      <c r="L15" s="15">
        <v>2554</v>
      </c>
      <c r="M15" s="401">
        <v>1</v>
      </c>
      <c r="N15" s="2">
        <v>2360</v>
      </c>
      <c r="O15" s="389">
        <f>N15/N16</f>
        <v>1</v>
      </c>
      <c r="P15" s="1">
        <v>2965</v>
      </c>
      <c r="Q15" s="389">
        <f>P15/P16</f>
        <v>1</v>
      </c>
      <c r="R15" s="17">
        <v>4614</v>
      </c>
      <c r="S15" s="389">
        <f>R15/R16</f>
        <v>1</v>
      </c>
      <c r="T15" s="34">
        <f>'[5]SLA WW'!H18</f>
        <v>5484</v>
      </c>
      <c r="U15" s="389">
        <f>T15/T16</f>
        <v>1</v>
      </c>
      <c r="V15" s="17">
        <v>3788</v>
      </c>
      <c r="W15" s="389">
        <f>V15/V16</f>
        <v>1</v>
      </c>
      <c r="X15" s="17">
        <f>'[6]SLA WW'!H18</f>
        <v>4418</v>
      </c>
      <c r="Y15" s="389">
        <f>X15/X16</f>
        <v>1</v>
      </c>
      <c r="Z15" s="17">
        <f>'[7]SLA WW'!H18</f>
        <v>4302</v>
      </c>
      <c r="AA15" s="389">
        <v>1</v>
      </c>
      <c r="AB15" s="17">
        <f>'[2]SLA WW'!H18</f>
        <v>5788</v>
      </c>
      <c r="AC15" s="389">
        <f>AB15/AB16</f>
        <v>1</v>
      </c>
      <c r="AD15" s="1">
        <f>'[4]Cash Balancing'!Z10</f>
        <v>4122</v>
      </c>
      <c r="AE15" s="389">
        <f>AD15/AD16</f>
        <v>1</v>
      </c>
      <c r="AF15" s="1">
        <v>4823</v>
      </c>
      <c r="AG15" s="389">
        <v>1</v>
      </c>
      <c r="AH15" s="1">
        <v>4650</v>
      </c>
      <c r="AI15" s="389">
        <f>AH15/AH16</f>
        <v>1</v>
      </c>
      <c r="AJ15" s="68">
        <f>[3]Volume!L22</f>
        <v>3639</v>
      </c>
      <c r="AK15" s="389">
        <f>AJ15/AJ16</f>
        <v>1</v>
      </c>
      <c r="AL15" s="68">
        <f>'2023'!M22</f>
        <v>3035</v>
      </c>
      <c r="AM15" s="389">
        <v>1</v>
      </c>
    </row>
    <row r="16" spans="1:39">
      <c r="A16" s="384"/>
      <c r="B16" s="391"/>
      <c r="C16" s="391"/>
      <c r="D16" s="387"/>
      <c r="E16" s="391"/>
      <c r="F16" s="29" t="s">
        <v>275</v>
      </c>
      <c r="G16" s="393"/>
      <c r="H16" s="31">
        <v>3091</v>
      </c>
      <c r="I16" s="399"/>
      <c r="J16" s="17">
        <v>8274</v>
      </c>
      <c r="K16" s="392"/>
      <c r="L16" s="15">
        <v>2554</v>
      </c>
      <c r="M16" s="401"/>
      <c r="N16" s="2">
        <v>2360</v>
      </c>
      <c r="O16" s="389"/>
      <c r="P16" s="1">
        <v>2965</v>
      </c>
      <c r="Q16" s="389"/>
      <c r="R16" s="17">
        <v>4614</v>
      </c>
      <c r="S16" s="389"/>
      <c r="T16" s="34">
        <f>'[5]SLA WW'!H19</f>
        <v>5484</v>
      </c>
      <c r="U16" s="389"/>
      <c r="V16" s="17">
        <v>3788</v>
      </c>
      <c r="W16" s="389"/>
      <c r="X16" s="17">
        <f>'[6]SLA WW'!H19</f>
        <v>4418</v>
      </c>
      <c r="Y16" s="389"/>
      <c r="Z16" s="17">
        <f>'[7]SLA WW'!H19</f>
        <v>4302</v>
      </c>
      <c r="AA16" s="389"/>
      <c r="AB16" s="17">
        <f>'[2]SLA WW'!H19</f>
        <v>5788</v>
      </c>
      <c r="AC16" s="389"/>
      <c r="AD16" s="1">
        <f>'[4]Cash Balancing'!Z10</f>
        <v>4122</v>
      </c>
      <c r="AE16" s="389"/>
      <c r="AF16">
        <v>4823</v>
      </c>
      <c r="AG16" s="389"/>
      <c r="AH16">
        <v>4650</v>
      </c>
      <c r="AI16" s="389"/>
      <c r="AJ16" s="51">
        <f>[3]Volume!L22</f>
        <v>3639</v>
      </c>
      <c r="AK16" s="389"/>
      <c r="AL16" s="51">
        <f>'2023'!M22</f>
        <v>3035</v>
      </c>
      <c r="AM16" s="389"/>
    </row>
    <row r="17" spans="1:39">
      <c r="A17" s="384">
        <v>8</v>
      </c>
      <c r="B17" s="385" t="s">
        <v>2</v>
      </c>
      <c r="C17" s="386" t="s">
        <v>276</v>
      </c>
      <c r="D17" s="387" t="s">
        <v>248</v>
      </c>
      <c r="E17" s="391" t="s">
        <v>277</v>
      </c>
      <c r="F17" s="29" t="s">
        <v>278</v>
      </c>
      <c r="G17" s="393">
        <v>0.98</v>
      </c>
      <c r="H17" s="31">
        <v>441</v>
      </c>
      <c r="I17" s="402">
        <v>1</v>
      </c>
      <c r="J17" s="31">
        <v>525</v>
      </c>
      <c r="K17" s="399">
        <v>1</v>
      </c>
      <c r="L17" s="15">
        <v>509</v>
      </c>
      <c r="M17" s="401">
        <v>1</v>
      </c>
      <c r="N17" s="2">
        <v>696</v>
      </c>
      <c r="O17" s="389">
        <f>N17/N18</f>
        <v>1</v>
      </c>
      <c r="P17" s="2">
        <v>647</v>
      </c>
      <c r="Q17" s="389">
        <f>P17/P18</f>
        <v>1</v>
      </c>
      <c r="R17" s="17">
        <v>565</v>
      </c>
      <c r="S17" s="389">
        <f>R17/R18</f>
        <v>0.99823321554770317</v>
      </c>
      <c r="T17" s="34">
        <f>'[5]SLA WW'!H20</f>
        <v>716</v>
      </c>
      <c r="U17" s="389">
        <f>T17/T18</f>
        <v>1</v>
      </c>
      <c r="V17" s="17">
        <v>555</v>
      </c>
      <c r="W17" s="389">
        <f>V17/V18</f>
        <v>1</v>
      </c>
      <c r="X17" s="17">
        <f>'[6]SLA WW'!H20</f>
        <v>476</v>
      </c>
      <c r="Y17" s="389">
        <f>X17/X18</f>
        <v>1</v>
      </c>
      <c r="Z17" s="17">
        <f>'[7]SLA WW'!H20</f>
        <v>529</v>
      </c>
      <c r="AA17" s="389">
        <v>1</v>
      </c>
      <c r="AB17" s="17">
        <f>'[2]SLA WW'!H20</f>
        <v>556</v>
      </c>
      <c r="AC17" s="389">
        <f>AB17/AB18</f>
        <v>1</v>
      </c>
      <c r="AD17" s="1">
        <f>'2023'!I5</f>
        <v>819</v>
      </c>
      <c r="AE17" s="389">
        <f>AD17/AD18</f>
        <v>1</v>
      </c>
      <c r="AF17" s="51">
        <v>1139</v>
      </c>
      <c r="AG17" s="389">
        <v>1</v>
      </c>
      <c r="AH17" s="51">
        <v>1899</v>
      </c>
      <c r="AI17" s="389">
        <f>AH17/AH18</f>
        <v>1</v>
      </c>
      <c r="AJ17" s="51">
        <f>[3]Volume!L5</f>
        <v>1281</v>
      </c>
      <c r="AK17" s="389">
        <f>AJ17/AJ18</f>
        <v>1</v>
      </c>
      <c r="AL17" s="51">
        <f>'2023'!M5</f>
        <v>1374</v>
      </c>
      <c r="AM17" s="389">
        <v>1</v>
      </c>
    </row>
    <row r="18" spans="1:39">
      <c r="A18" s="384"/>
      <c r="B18" s="385"/>
      <c r="C18" s="386"/>
      <c r="D18" s="387"/>
      <c r="E18" s="391"/>
      <c r="F18" s="29" t="s">
        <v>279</v>
      </c>
      <c r="G18" s="393"/>
      <c r="H18" s="31">
        <v>441</v>
      </c>
      <c r="I18" s="402"/>
      <c r="J18" s="31">
        <v>525</v>
      </c>
      <c r="K18" s="399"/>
      <c r="L18" s="15">
        <v>509</v>
      </c>
      <c r="M18" s="401"/>
      <c r="N18" s="2">
        <v>696</v>
      </c>
      <c r="O18" s="389"/>
      <c r="P18" s="2">
        <v>647</v>
      </c>
      <c r="Q18" s="389"/>
      <c r="R18" s="17">
        <v>566</v>
      </c>
      <c r="S18" s="389"/>
      <c r="T18" s="34">
        <f>'[5]SLA WW'!H21</f>
        <v>716</v>
      </c>
      <c r="U18" s="389"/>
      <c r="V18" s="17">
        <v>555</v>
      </c>
      <c r="W18" s="389"/>
      <c r="X18" s="17">
        <f>'[6]SLA WW'!H21</f>
        <v>476</v>
      </c>
      <c r="Y18" s="389"/>
      <c r="Z18" s="17">
        <f>'[7]SLA WW'!H21</f>
        <v>529</v>
      </c>
      <c r="AA18" s="389"/>
      <c r="AB18" s="17">
        <f>'[2]SLA WW'!H21</f>
        <v>556</v>
      </c>
      <c r="AC18" s="389"/>
      <c r="AD18" s="1">
        <f>'2023'!I5</f>
        <v>819</v>
      </c>
      <c r="AE18" s="389"/>
      <c r="AF18" s="51">
        <v>1139</v>
      </c>
      <c r="AG18" s="389"/>
      <c r="AH18" s="51">
        <v>1899</v>
      </c>
      <c r="AI18" s="389"/>
      <c r="AJ18" s="51">
        <f>[3]Volume!L5</f>
        <v>1281</v>
      </c>
      <c r="AK18" s="389"/>
      <c r="AL18" s="51">
        <f>'2023'!M5</f>
        <v>1374</v>
      </c>
      <c r="AM18" s="389"/>
    </row>
    <row r="19" spans="1:39">
      <c r="A19" s="384">
        <v>9</v>
      </c>
      <c r="B19" s="385" t="s">
        <v>29</v>
      </c>
      <c r="C19" s="386" t="s">
        <v>280</v>
      </c>
      <c r="D19" s="387" t="s">
        <v>248</v>
      </c>
      <c r="E19" s="387" t="s">
        <v>281</v>
      </c>
      <c r="F19" s="29" t="s">
        <v>282</v>
      </c>
      <c r="G19" s="393">
        <v>0.98</v>
      </c>
      <c r="H19" s="31"/>
      <c r="I19" s="37" t="s">
        <v>63</v>
      </c>
      <c r="J19" s="37" t="s">
        <v>63</v>
      </c>
      <c r="K19" s="37" t="s">
        <v>63</v>
      </c>
      <c r="L19" s="37" t="s">
        <v>63</v>
      </c>
      <c r="M19" s="37" t="s">
        <v>63</v>
      </c>
      <c r="N19" s="37" t="s">
        <v>63</v>
      </c>
      <c r="O19" s="37" t="s">
        <v>63</v>
      </c>
      <c r="P19" s="2">
        <v>28</v>
      </c>
      <c r="Q19" s="389">
        <f>P19/P20</f>
        <v>1</v>
      </c>
      <c r="R19" s="17">
        <v>50</v>
      </c>
      <c r="S19" s="389">
        <f>R19/R20</f>
        <v>1</v>
      </c>
      <c r="T19" s="34">
        <v>45</v>
      </c>
      <c r="U19" s="389">
        <f>T19/T20</f>
        <v>1</v>
      </c>
      <c r="V19" s="17">
        <v>45</v>
      </c>
      <c r="W19" s="389">
        <f>V19/V20</f>
        <v>1</v>
      </c>
      <c r="X19" s="17">
        <v>45</v>
      </c>
      <c r="Y19" s="389">
        <f>X19/X20</f>
        <v>1</v>
      </c>
      <c r="Z19" s="17">
        <v>94</v>
      </c>
      <c r="AA19" s="389">
        <v>1</v>
      </c>
      <c r="AB19" s="17">
        <v>174</v>
      </c>
      <c r="AC19" s="389">
        <f>AB19/AB20</f>
        <v>0.98863636363636365</v>
      </c>
      <c r="AD19" s="1">
        <v>179</v>
      </c>
      <c r="AE19" s="389">
        <f>AD19/AD20</f>
        <v>1</v>
      </c>
      <c r="AF19">
        <v>158</v>
      </c>
      <c r="AG19" s="389">
        <v>1</v>
      </c>
      <c r="AH19">
        <v>206</v>
      </c>
      <c r="AI19" s="389">
        <f>AH19/AH20</f>
        <v>1</v>
      </c>
      <c r="AJ19">
        <v>193</v>
      </c>
      <c r="AK19" s="389">
        <f>AJ19/AJ20</f>
        <v>1</v>
      </c>
      <c r="AL19">
        <v>205</v>
      </c>
      <c r="AM19" s="389">
        <v>1</v>
      </c>
    </row>
    <row r="20" spans="1:39">
      <c r="A20" s="384"/>
      <c r="B20" s="385"/>
      <c r="C20" s="386"/>
      <c r="D20" s="387"/>
      <c r="E20" s="387"/>
      <c r="F20" s="29" t="s">
        <v>283</v>
      </c>
      <c r="G20" s="393"/>
      <c r="H20" s="31"/>
      <c r="I20" s="37" t="s">
        <v>63</v>
      </c>
      <c r="J20" s="37" t="s">
        <v>63</v>
      </c>
      <c r="K20" s="37" t="s">
        <v>63</v>
      </c>
      <c r="L20" s="37" t="s">
        <v>63</v>
      </c>
      <c r="M20" s="37" t="s">
        <v>63</v>
      </c>
      <c r="N20" s="37" t="s">
        <v>63</v>
      </c>
      <c r="O20" s="37" t="s">
        <v>63</v>
      </c>
      <c r="P20" s="2">
        <v>28</v>
      </c>
      <c r="Q20" s="389"/>
      <c r="R20" s="17">
        <v>50</v>
      </c>
      <c r="S20" s="389"/>
      <c r="T20" s="34">
        <v>45</v>
      </c>
      <c r="U20" s="389"/>
      <c r="V20" s="17">
        <v>45</v>
      </c>
      <c r="W20" s="389"/>
      <c r="X20" s="17">
        <v>45</v>
      </c>
      <c r="Y20" s="389"/>
      <c r="Z20" s="17">
        <v>94</v>
      </c>
      <c r="AA20" s="389"/>
      <c r="AB20" s="17">
        <v>176</v>
      </c>
      <c r="AC20" s="389"/>
      <c r="AD20" s="1">
        <v>179</v>
      </c>
      <c r="AE20" s="389"/>
      <c r="AF20">
        <v>158</v>
      </c>
      <c r="AG20" s="389"/>
      <c r="AH20">
        <v>206</v>
      </c>
      <c r="AI20" s="389"/>
      <c r="AJ20">
        <v>193</v>
      </c>
      <c r="AK20" s="389"/>
      <c r="AL20">
        <v>205</v>
      </c>
      <c r="AM20" s="389"/>
    </row>
    <row r="21" spans="1:39">
      <c r="A21" s="384">
        <v>10</v>
      </c>
      <c r="B21" s="394" t="s">
        <v>29</v>
      </c>
      <c r="C21" s="386" t="s">
        <v>284</v>
      </c>
      <c r="D21" s="387" t="s">
        <v>252</v>
      </c>
      <c r="E21" s="30" t="s">
        <v>285</v>
      </c>
      <c r="F21" s="29" t="s">
        <v>286</v>
      </c>
      <c r="G21" s="393">
        <v>0.98</v>
      </c>
      <c r="H21" s="31"/>
      <c r="I21" s="37" t="s">
        <v>63</v>
      </c>
      <c r="J21" s="37" t="s">
        <v>63</v>
      </c>
      <c r="K21" s="37" t="s">
        <v>63</v>
      </c>
      <c r="L21" s="37" t="s">
        <v>63</v>
      </c>
      <c r="M21" s="37" t="s">
        <v>63</v>
      </c>
      <c r="N21" s="37" t="s">
        <v>63</v>
      </c>
      <c r="O21" s="37" t="s">
        <v>63</v>
      </c>
      <c r="P21" s="2">
        <v>28</v>
      </c>
      <c r="Q21" s="389">
        <f>P21/P22</f>
        <v>1</v>
      </c>
      <c r="R21" s="17">
        <v>50</v>
      </c>
      <c r="S21" s="389">
        <f>R21/R22</f>
        <v>1</v>
      </c>
      <c r="T21" s="34">
        <v>45</v>
      </c>
      <c r="U21" s="389">
        <f>T21/T22</f>
        <v>1</v>
      </c>
      <c r="V21" s="17">
        <v>45</v>
      </c>
      <c r="W21" s="389">
        <f>V21/V22</f>
        <v>1</v>
      </c>
      <c r="X21" s="17">
        <v>45</v>
      </c>
      <c r="Y21" s="389">
        <f>X21/X22</f>
        <v>1</v>
      </c>
      <c r="Z21" s="17">
        <v>94</v>
      </c>
      <c r="AA21" s="389">
        <v>1</v>
      </c>
      <c r="AB21" s="17">
        <v>169</v>
      </c>
      <c r="AC21" s="389">
        <f>AB21/AB22</f>
        <v>0.97126436781609193</v>
      </c>
      <c r="AD21" s="1">
        <v>179</v>
      </c>
      <c r="AE21" s="389">
        <f>AD21/AD22</f>
        <v>1</v>
      </c>
      <c r="AF21">
        <v>158</v>
      </c>
      <c r="AG21" s="389">
        <v>1</v>
      </c>
      <c r="AH21">
        <v>206</v>
      </c>
      <c r="AI21" s="389">
        <f>AH21/AH22</f>
        <v>1</v>
      </c>
      <c r="AJ21">
        <v>192</v>
      </c>
      <c r="AK21" s="389">
        <f>AJ21/AJ22</f>
        <v>0.99481865284974091</v>
      </c>
      <c r="AL21">
        <v>205</v>
      </c>
      <c r="AM21" s="389">
        <v>1</v>
      </c>
    </row>
    <row r="22" spans="1:39">
      <c r="A22" s="384"/>
      <c r="B22" s="394"/>
      <c r="C22" s="386"/>
      <c r="D22" s="387"/>
      <c r="E22" s="30" t="s">
        <v>255</v>
      </c>
      <c r="F22" s="29" t="s">
        <v>287</v>
      </c>
      <c r="G22" s="393"/>
      <c r="H22" s="31"/>
      <c r="I22" s="37" t="s">
        <v>63</v>
      </c>
      <c r="J22" s="37" t="s">
        <v>63</v>
      </c>
      <c r="K22" s="37" t="s">
        <v>63</v>
      </c>
      <c r="L22" s="37" t="s">
        <v>63</v>
      </c>
      <c r="M22" s="37" t="s">
        <v>63</v>
      </c>
      <c r="N22" s="37" t="s">
        <v>63</v>
      </c>
      <c r="O22" s="37" t="s">
        <v>63</v>
      </c>
      <c r="P22" s="2">
        <v>28</v>
      </c>
      <c r="Q22" s="389"/>
      <c r="R22" s="17">
        <v>50</v>
      </c>
      <c r="S22" s="389"/>
      <c r="T22" s="34">
        <v>45</v>
      </c>
      <c r="U22" s="389"/>
      <c r="V22" s="17">
        <v>45</v>
      </c>
      <c r="W22" s="389"/>
      <c r="X22" s="17">
        <v>45</v>
      </c>
      <c r="Y22" s="389"/>
      <c r="Z22" s="17">
        <v>94</v>
      </c>
      <c r="AA22" s="389"/>
      <c r="AB22" s="17">
        <v>174</v>
      </c>
      <c r="AC22" s="389"/>
      <c r="AD22" s="1">
        <v>179</v>
      </c>
      <c r="AE22" s="389"/>
      <c r="AF22">
        <v>158</v>
      </c>
      <c r="AG22" s="389"/>
      <c r="AH22">
        <v>206</v>
      </c>
      <c r="AI22" s="389"/>
      <c r="AJ22">
        <v>193</v>
      </c>
      <c r="AK22" s="389"/>
      <c r="AL22">
        <v>205</v>
      </c>
      <c r="AM22" s="389"/>
    </row>
    <row r="23" spans="1:39">
      <c r="A23" s="384">
        <v>11</v>
      </c>
      <c r="B23" s="394" t="s">
        <v>69</v>
      </c>
      <c r="C23" s="386" t="s">
        <v>288</v>
      </c>
      <c r="D23" s="387" t="s">
        <v>248</v>
      </c>
      <c r="E23" s="30"/>
      <c r="F23" s="29"/>
      <c r="G23" s="393">
        <v>0.99</v>
      </c>
      <c r="H23" s="31"/>
      <c r="I23" s="37" t="s">
        <v>63</v>
      </c>
      <c r="J23" s="37" t="s">
        <v>63</v>
      </c>
      <c r="K23" s="37" t="s">
        <v>63</v>
      </c>
      <c r="L23" s="37" t="s">
        <v>63</v>
      </c>
      <c r="M23" s="37" t="s">
        <v>63</v>
      </c>
      <c r="N23" s="37" t="s">
        <v>63</v>
      </c>
      <c r="O23" s="37" t="s">
        <v>63</v>
      </c>
      <c r="P23" s="37" t="s">
        <v>63</v>
      </c>
      <c r="Q23" s="37" t="s">
        <v>63</v>
      </c>
      <c r="R23" s="37" t="s">
        <v>63</v>
      </c>
      <c r="S23" s="37" t="s">
        <v>63</v>
      </c>
      <c r="T23" s="37" t="s">
        <v>63</v>
      </c>
      <c r="U23" s="37" t="s">
        <v>63</v>
      </c>
      <c r="V23" s="37" t="s">
        <v>63</v>
      </c>
      <c r="W23" s="37" t="s">
        <v>63</v>
      </c>
      <c r="X23" s="17">
        <v>22</v>
      </c>
      <c r="Y23" s="389">
        <f>X23/X24</f>
        <v>1</v>
      </c>
      <c r="Z23" s="17">
        <v>16</v>
      </c>
      <c r="AA23" s="389">
        <v>1</v>
      </c>
      <c r="AB23" s="17">
        <v>20</v>
      </c>
      <c r="AC23" s="389">
        <f>AB23/AB24</f>
        <v>1</v>
      </c>
      <c r="AD23" s="1">
        <v>21</v>
      </c>
      <c r="AE23" s="389">
        <f>AD23/AD24</f>
        <v>1</v>
      </c>
      <c r="AF23">
        <v>20</v>
      </c>
      <c r="AG23" s="389">
        <v>1</v>
      </c>
      <c r="AH23">
        <v>21</v>
      </c>
      <c r="AI23" s="389">
        <f>AH23/AH24</f>
        <v>1</v>
      </c>
      <c r="AJ23">
        <v>21</v>
      </c>
      <c r="AK23" s="389">
        <f>AJ23/AJ24</f>
        <v>1</v>
      </c>
      <c r="AL23">
        <v>20</v>
      </c>
      <c r="AM23" s="389">
        <v>1</v>
      </c>
    </row>
    <row r="24" spans="1:39">
      <c r="A24" s="384"/>
      <c r="B24" s="394"/>
      <c r="C24" s="386"/>
      <c r="D24" s="387"/>
      <c r="E24" s="30"/>
      <c r="F24" s="29"/>
      <c r="G24" s="393"/>
      <c r="H24" s="31"/>
      <c r="I24" s="37" t="s">
        <v>63</v>
      </c>
      <c r="J24" s="37" t="s">
        <v>63</v>
      </c>
      <c r="K24" s="37" t="s">
        <v>63</v>
      </c>
      <c r="L24" s="37" t="s">
        <v>63</v>
      </c>
      <c r="M24" s="37" t="s">
        <v>63</v>
      </c>
      <c r="N24" s="37" t="s">
        <v>63</v>
      </c>
      <c r="O24" s="37" t="s">
        <v>63</v>
      </c>
      <c r="P24" s="37" t="s">
        <v>63</v>
      </c>
      <c r="Q24" s="37" t="s">
        <v>63</v>
      </c>
      <c r="R24" s="37" t="s">
        <v>63</v>
      </c>
      <c r="S24" s="37" t="s">
        <v>63</v>
      </c>
      <c r="T24" s="37" t="s">
        <v>63</v>
      </c>
      <c r="U24" s="37" t="s">
        <v>63</v>
      </c>
      <c r="V24" s="37" t="s">
        <v>63</v>
      </c>
      <c r="W24" s="37" t="s">
        <v>63</v>
      </c>
      <c r="X24" s="17">
        <v>22</v>
      </c>
      <c r="Y24" s="389"/>
      <c r="Z24" s="17">
        <v>16</v>
      </c>
      <c r="AA24" s="389"/>
      <c r="AB24" s="17">
        <v>20</v>
      </c>
      <c r="AC24" s="389"/>
      <c r="AD24" s="1">
        <v>21</v>
      </c>
      <c r="AE24" s="389"/>
      <c r="AF24">
        <v>20</v>
      </c>
      <c r="AG24" s="389"/>
      <c r="AH24">
        <v>21</v>
      </c>
      <c r="AI24" s="389"/>
      <c r="AJ24">
        <v>21</v>
      </c>
      <c r="AK24" s="389"/>
      <c r="AL24">
        <v>20</v>
      </c>
      <c r="AM24" s="389"/>
    </row>
    <row r="25" spans="1:39" ht="15" customHeight="1">
      <c r="A25" s="397" t="s">
        <v>289</v>
      </c>
      <c r="B25" s="398"/>
      <c r="C25" s="398"/>
      <c r="D25" s="398"/>
      <c r="E25" s="398"/>
      <c r="F25" s="398"/>
      <c r="G25" s="398"/>
      <c r="H25" s="398"/>
      <c r="I25" s="398"/>
      <c r="J25" s="398"/>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8"/>
      <c r="AL25" s="398"/>
      <c r="AM25" s="398"/>
    </row>
    <row r="26" spans="1:39">
      <c r="A26" s="397"/>
      <c r="B26" s="398"/>
      <c r="C26" s="398"/>
      <c r="D26" s="398"/>
      <c r="E26" s="398"/>
      <c r="F26" s="398"/>
      <c r="G26" s="398"/>
      <c r="H26" s="398"/>
      <c r="I26" s="398"/>
      <c r="J26" s="398"/>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8"/>
      <c r="AL26" s="398"/>
      <c r="AM26" s="398"/>
    </row>
  </sheetData>
  <mergeCells count="261">
    <mergeCell ref="AK21:AK22"/>
    <mergeCell ref="AK23:AK24"/>
    <mergeCell ref="A25:AM26"/>
    <mergeCell ref="AM17:AM18"/>
    <mergeCell ref="AM19:AM20"/>
    <mergeCell ref="AM21:AM22"/>
    <mergeCell ref="AM23:AM24"/>
    <mergeCell ref="AG23:AG24"/>
    <mergeCell ref="AI23:AI24"/>
    <mergeCell ref="A23:A24"/>
    <mergeCell ref="B23:B24"/>
    <mergeCell ref="C23:C24"/>
    <mergeCell ref="D23:D24"/>
    <mergeCell ref="G23:G24"/>
    <mergeCell ref="Y23:Y24"/>
    <mergeCell ref="AA23:AA24"/>
    <mergeCell ref="A21:A22"/>
    <mergeCell ref="B21:B22"/>
    <mergeCell ref="C21:C22"/>
    <mergeCell ref="D21:D22"/>
    <mergeCell ref="G21:G22"/>
    <mergeCell ref="Q21:Q22"/>
    <mergeCell ref="AC23:AC24"/>
    <mergeCell ref="AE23:AE24"/>
    <mergeCell ref="AD1:AD2"/>
    <mergeCell ref="AE5:AE6"/>
    <mergeCell ref="AE7:AE8"/>
    <mergeCell ref="AE9:AE10"/>
    <mergeCell ref="AE11:AE12"/>
    <mergeCell ref="AE13:AE14"/>
    <mergeCell ref="AE15:AE16"/>
    <mergeCell ref="AE17:AE18"/>
    <mergeCell ref="AC21:AC22"/>
    <mergeCell ref="AC17:AC18"/>
    <mergeCell ref="AC19:AC20"/>
    <mergeCell ref="AE21:AE22"/>
    <mergeCell ref="AC11:AC12"/>
    <mergeCell ref="AG17:AG18"/>
    <mergeCell ref="AG19:AG20"/>
    <mergeCell ref="AG21:AG22"/>
    <mergeCell ref="AI17:AI18"/>
    <mergeCell ref="AI19:AI20"/>
    <mergeCell ref="AI21:AI22"/>
    <mergeCell ref="AG11:AG12"/>
    <mergeCell ref="AG13:AG14"/>
    <mergeCell ref="AG15:AG16"/>
    <mergeCell ref="U19:U20"/>
    <mergeCell ref="W19:W20"/>
    <mergeCell ref="Y19:Y20"/>
    <mergeCell ref="AA19:AA20"/>
    <mergeCell ref="AJ1:AJ2"/>
    <mergeCell ref="AK1:AK2"/>
    <mergeCell ref="AK3:AK4"/>
    <mergeCell ref="AK5:AK6"/>
    <mergeCell ref="AK7:AK8"/>
    <mergeCell ref="AK9:AK10"/>
    <mergeCell ref="AK11:AK12"/>
    <mergeCell ref="AE19:AE20"/>
    <mergeCell ref="AH1:AH2"/>
    <mergeCell ref="AI1:AI2"/>
    <mergeCell ref="AI3:AI4"/>
    <mergeCell ref="AI5:AI6"/>
    <mergeCell ref="AI7:AI8"/>
    <mergeCell ref="AI9:AI10"/>
    <mergeCell ref="AE1:AE2"/>
    <mergeCell ref="AE3:AE4"/>
    <mergeCell ref="AK17:AK18"/>
    <mergeCell ref="AK19:AK20"/>
    <mergeCell ref="Y11:Y12"/>
    <mergeCell ref="AA11:AA12"/>
    <mergeCell ref="A19:A20"/>
    <mergeCell ref="B19:B20"/>
    <mergeCell ref="C19:C20"/>
    <mergeCell ref="D19:D20"/>
    <mergeCell ref="E19:E20"/>
    <mergeCell ref="G19:G20"/>
    <mergeCell ref="Y21:Y22"/>
    <mergeCell ref="AA21:AA22"/>
    <mergeCell ref="S17:S18"/>
    <mergeCell ref="U17:U18"/>
    <mergeCell ref="W17:W18"/>
    <mergeCell ref="Y17:Y18"/>
    <mergeCell ref="AA17:AA18"/>
    <mergeCell ref="G17:G18"/>
    <mergeCell ref="I17:I18"/>
    <mergeCell ref="K17:K18"/>
    <mergeCell ref="M17:M18"/>
    <mergeCell ref="O17:O18"/>
    <mergeCell ref="Q17:Q18"/>
    <mergeCell ref="S21:S22"/>
    <mergeCell ref="U21:U22"/>
    <mergeCell ref="W21:W22"/>
    <mergeCell ref="Q19:Q20"/>
    <mergeCell ref="S19:S20"/>
    <mergeCell ref="U15:U16"/>
    <mergeCell ref="W15:W16"/>
    <mergeCell ref="Y15:Y16"/>
    <mergeCell ref="AA15:AA16"/>
    <mergeCell ref="AC15:AC16"/>
    <mergeCell ref="A17:A18"/>
    <mergeCell ref="B17:B18"/>
    <mergeCell ref="C17:C18"/>
    <mergeCell ref="D17:D18"/>
    <mergeCell ref="E17:E18"/>
    <mergeCell ref="I15:I16"/>
    <mergeCell ref="K15:K16"/>
    <mergeCell ref="M15:M16"/>
    <mergeCell ref="O15:O16"/>
    <mergeCell ref="Q15:Q16"/>
    <mergeCell ref="S15:S16"/>
    <mergeCell ref="A15:A16"/>
    <mergeCell ref="B15:B16"/>
    <mergeCell ref="C15:C16"/>
    <mergeCell ref="D15:D16"/>
    <mergeCell ref="E15:E16"/>
    <mergeCell ref="G15:G16"/>
    <mergeCell ref="A13:A14"/>
    <mergeCell ref="B13:B14"/>
    <mergeCell ref="C13:C14"/>
    <mergeCell ref="D13:D14"/>
    <mergeCell ref="E13:E14"/>
    <mergeCell ref="I11:I12"/>
    <mergeCell ref="K11:K12"/>
    <mergeCell ref="M11:M12"/>
    <mergeCell ref="O11:O12"/>
    <mergeCell ref="O13:O14"/>
    <mergeCell ref="Q11:Q12"/>
    <mergeCell ref="S11:S12"/>
    <mergeCell ref="S13:S14"/>
    <mergeCell ref="U13:U14"/>
    <mergeCell ref="W13:W14"/>
    <mergeCell ref="Y13:Y14"/>
    <mergeCell ref="AA13:AA14"/>
    <mergeCell ref="AC13:AC14"/>
    <mergeCell ref="G13:G14"/>
    <mergeCell ref="I13:I14"/>
    <mergeCell ref="K13:K14"/>
    <mergeCell ref="M13:M14"/>
    <mergeCell ref="Q13:Q14"/>
    <mergeCell ref="W9:W10"/>
    <mergeCell ref="Y9:Y10"/>
    <mergeCell ref="AA9:AA10"/>
    <mergeCell ref="AC9:AC10"/>
    <mergeCell ref="A11:A12"/>
    <mergeCell ref="B11:B12"/>
    <mergeCell ref="C11:C12"/>
    <mergeCell ref="D11:D12"/>
    <mergeCell ref="E11:E12"/>
    <mergeCell ref="G11:G12"/>
    <mergeCell ref="K9:K10"/>
    <mergeCell ref="M9:M10"/>
    <mergeCell ref="O9:O10"/>
    <mergeCell ref="Q9:Q10"/>
    <mergeCell ref="S9:S10"/>
    <mergeCell ref="U9:U10"/>
    <mergeCell ref="A9:A10"/>
    <mergeCell ref="B9:B10"/>
    <mergeCell ref="C9:C10"/>
    <mergeCell ref="D9:D10"/>
    <mergeCell ref="G9:G10"/>
    <mergeCell ref="I9:I10"/>
    <mergeCell ref="U11:U12"/>
    <mergeCell ref="W11:W12"/>
    <mergeCell ref="S7:S8"/>
    <mergeCell ref="U7:U8"/>
    <mergeCell ref="W7:W8"/>
    <mergeCell ref="Y7:Y8"/>
    <mergeCell ref="AA7:AA8"/>
    <mergeCell ref="AC7:AC8"/>
    <mergeCell ref="G7:G8"/>
    <mergeCell ref="I7:I8"/>
    <mergeCell ref="K7:K8"/>
    <mergeCell ref="M7:M8"/>
    <mergeCell ref="O7:O8"/>
    <mergeCell ref="Q7:Q8"/>
    <mergeCell ref="A7:A8"/>
    <mergeCell ref="B7:B8"/>
    <mergeCell ref="C7:C8"/>
    <mergeCell ref="D7:D8"/>
    <mergeCell ref="E7:E8"/>
    <mergeCell ref="I5:I6"/>
    <mergeCell ref="K5:K6"/>
    <mergeCell ref="M5:M6"/>
    <mergeCell ref="O5:O6"/>
    <mergeCell ref="U3:U4"/>
    <mergeCell ref="W3:W4"/>
    <mergeCell ref="Y3:Y4"/>
    <mergeCell ref="AA3:AA4"/>
    <mergeCell ref="AC3:AC4"/>
    <mergeCell ref="A5:A6"/>
    <mergeCell ref="B5:B6"/>
    <mergeCell ref="C5:C6"/>
    <mergeCell ref="D5:D6"/>
    <mergeCell ref="G5:G6"/>
    <mergeCell ref="I3:I4"/>
    <mergeCell ref="K3:K4"/>
    <mergeCell ref="M3:M4"/>
    <mergeCell ref="O3:O4"/>
    <mergeCell ref="Q3:Q4"/>
    <mergeCell ref="S3:S4"/>
    <mergeCell ref="U5:U6"/>
    <mergeCell ref="W5:W6"/>
    <mergeCell ref="Y5:Y6"/>
    <mergeCell ref="AA5:AA6"/>
    <mergeCell ref="AC5:AC6"/>
    <mergeCell ref="Q5:Q6"/>
    <mergeCell ref="S5:S6"/>
    <mergeCell ref="W1:W2"/>
    <mergeCell ref="Y1:Y2"/>
    <mergeCell ref="M1:M2"/>
    <mergeCell ref="N1:N2"/>
    <mergeCell ref="O1:O2"/>
    <mergeCell ref="P1:P2"/>
    <mergeCell ref="Q1:Q2"/>
    <mergeCell ref="R1:R2"/>
    <mergeCell ref="G1:G2"/>
    <mergeCell ref="H1:H2"/>
    <mergeCell ref="Z1:Z2"/>
    <mergeCell ref="AA1:AA2"/>
    <mergeCell ref="AB1:AB2"/>
    <mergeCell ref="AC1:AC2"/>
    <mergeCell ref="A3:A4"/>
    <mergeCell ref="B3:B4"/>
    <mergeCell ref="C3:C4"/>
    <mergeCell ref="D3:D4"/>
    <mergeCell ref="E3:E4"/>
    <mergeCell ref="G3:G4"/>
    <mergeCell ref="S1:S2"/>
    <mergeCell ref="I1:I2"/>
    <mergeCell ref="J1:J2"/>
    <mergeCell ref="K1:K2"/>
    <mergeCell ref="L1:L2"/>
    <mergeCell ref="A1:A2"/>
    <mergeCell ref="B1:B2"/>
    <mergeCell ref="C1:C2"/>
    <mergeCell ref="D1:D2"/>
    <mergeCell ref="E1:E2"/>
    <mergeCell ref="F1:F2"/>
    <mergeCell ref="T1:T2"/>
    <mergeCell ref="U1:U2"/>
    <mergeCell ref="V1:V2"/>
    <mergeCell ref="AF1:AF2"/>
    <mergeCell ref="AG1:AG2"/>
    <mergeCell ref="AG3:AG4"/>
    <mergeCell ref="AG5:AG6"/>
    <mergeCell ref="AG7:AG8"/>
    <mergeCell ref="AG9:AG10"/>
    <mergeCell ref="AI11:AI12"/>
    <mergeCell ref="AI13:AI14"/>
    <mergeCell ref="AI15:AI16"/>
    <mergeCell ref="AK13:AK14"/>
    <mergeCell ref="AK15:AK16"/>
    <mergeCell ref="AM5:AM6"/>
    <mergeCell ref="AM7:AM8"/>
    <mergeCell ref="AM9:AM10"/>
    <mergeCell ref="AM11:AM12"/>
    <mergeCell ref="AL1:AL2"/>
    <mergeCell ref="AM1:AM2"/>
    <mergeCell ref="AM3:AM4"/>
    <mergeCell ref="AM13:AM14"/>
    <mergeCell ref="AM15:AM1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6E1586-C717-4D22-A7D2-45B9C5B9EC80}">
  <dimension ref="A1:S13"/>
  <sheetViews>
    <sheetView topLeftCell="A4" zoomScale="75" zoomScaleNormal="75" workbookViewId="0">
      <selection activeCell="X7" sqref="X7"/>
    </sheetView>
  </sheetViews>
  <sheetFormatPr defaultRowHeight="78" customHeight="1"/>
  <cols>
    <col min="1" max="1" width="10.140625" bestFit="1" customWidth="1"/>
    <col min="2" max="2" width="21.5703125" bestFit="1" customWidth="1"/>
    <col min="3" max="3" width="21.85546875" customWidth="1"/>
    <col min="4" max="4" width="16.5703125" style="3" customWidth="1"/>
    <col min="5" max="5" width="31.140625" customWidth="1"/>
    <col min="6" max="6" width="26.42578125" customWidth="1"/>
    <col min="7" max="7" width="11.140625" style="3" customWidth="1"/>
    <col min="8" max="8" width="9.140625" hidden="1" customWidth="1"/>
    <col min="9" max="9" width="9.42578125" hidden="1" customWidth="1"/>
    <col min="10" max="16" width="11.7109375" hidden="1" customWidth="1"/>
    <col min="17" max="17" width="9.140625" customWidth="1"/>
  </cols>
  <sheetData>
    <row r="1" spans="1:19" ht="78" customHeight="1">
      <c r="A1" s="41" t="s">
        <v>294</v>
      </c>
      <c r="B1" s="41" t="s">
        <v>70</v>
      </c>
      <c r="C1" s="41" t="s">
        <v>295</v>
      </c>
      <c r="D1" s="41" t="s">
        <v>296</v>
      </c>
      <c r="E1" s="41" t="s">
        <v>297</v>
      </c>
      <c r="F1" s="41" t="s">
        <v>298</v>
      </c>
      <c r="G1" s="41" t="s">
        <v>235</v>
      </c>
      <c r="H1" s="41" t="s">
        <v>64</v>
      </c>
      <c r="I1" s="41" t="s">
        <v>86</v>
      </c>
      <c r="J1" s="41" t="s">
        <v>89</v>
      </c>
      <c r="K1" s="41" t="s">
        <v>97</v>
      </c>
      <c r="L1" s="41" t="s">
        <v>125</v>
      </c>
      <c r="M1" s="41" t="s">
        <v>55</v>
      </c>
      <c r="N1" s="41" t="s">
        <v>56</v>
      </c>
      <c r="O1" s="41" t="s">
        <v>27</v>
      </c>
      <c r="P1" s="41" t="s">
        <v>33</v>
      </c>
      <c r="Q1" s="41" t="s">
        <v>43</v>
      </c>
      <c r="R1" s="41" t="s">
        <v>44</v>
      </c>
      <c r="S1" s="41" t="s">
        <v>61</v>
      </c>
    </row>
    <row r="2" spans="1:19" ht="78" customHeight="1">
      <c r="A2" s="379"/>
      <c r="B2" s="69" t="s">
        <v>3</v>
      </c>
      <c r="C2" s="42" t="s">
        <v>299</v>
      </c>
      <c r="D2" s="42" t="s">
        <v>300</v>
      </c>
      <c r="E2" s="42" t="s">
        <v>301</v>
      </c>
      <c r="F2" s="42" t="s">
        <v>302</v>
      </c>
      <c r="G2" s="44">
        <v>0.95</v>
      </c>
      <c r="H2" s="45">
        <v>0.92016238159675234</v>
      </c>
      <c r="I2" s="45">
        <v>0.91942446043165471</v>
      </c>
      <c r="J2" s="45">
        <v>0.93931034482758624</v>
      </c>
      <c r="K2" s="45">
        <v>0.86897404202719408</v>
      </c>
      <c r="L2" s="45">
        <v>0.92674805771365154</v>
      </c>
      <c r="M2" s="45">
        <v>0.95173267326732669</v>
      </c>
      <c r="N2" s="45">
        <v>0.98583569405099147</v>
      </c>
      <c r="O2" s="45">
        <v>0.93035479632063078</v>
      </c>
      <c r="P2" s="45">
        <v>0.95389507154213038</v>
      </c>
      <c r="Q2" s="45">
        <v>0.95596755504055619</v>
      </c>
      <c r="R2" s="45">
        <v>0.87812041116005868</v>
      </c>
      <c r="S2" s="45">
        <v>0.90095846645367417</v>
      </c>
    </row>
    <row r="3" spans="1:19" ht="78" customHeight="1">
      <c r="A3" s="379"/>
      <c r="B3" s="69" t="s">
        <v>2</v>
      </c>
      <c r="C3" s="42" t="s">
        <v>303</v>
      </c>
      <c r="D3" s="42" t="s">
        <v>300</v>
      </c>
      <c r="E3" s="42" t="s">
        <v>301</v>
      </c>
      <c r="F3" s="42" t="s">
        <v>302</v>
      </c>
      <c r="G3" s="44">
        <v>0.95</v>
      </c>
      <c r="H3" s="44">
        <v>1</v>
      </c>
      <c r="I3" s="44">
        <v>1</v>
      </c>
      <c r="J3" s="44">
        <v>1</v>
      </c>
      <c r="K3" s="44">
        <v>1</v>
      </c>
      <c r="L3" s="44">
        <v>1</v>
      </c>
      <c r="M3" s="44">
        <v>1</v>
      </c>
      <c r="N3" s="44">
        <v>1</v>
      </c>
      <c r="O3" s="44">
        <v>1</v>
      </c>
      <c r="P3" s="44">
        <v>1</v>
      </c>
      <c r="Q3" s="14">
        <v>1</v>
      </c>
      <c r="R3" s="45">
        <v>1</v>
      </c>
      <c r="S3" s="45">
        <v>1</v>
      </c>
    </row>
    <row r="4" spans="1:19" ht="78" customHeight="1">
      <c r="A4" s="379"/>
      <c r="B4" s="380" t="s">
        <v>304</v>
      </c>
      <c r="C4" s="379" t="s">
        <v>305</v>
      </c>
      <c r="D4" s="379" t="s">
        <v>300</v>
      </c>
      <c r="E4" s="48" t="s">
        <v>306</v>
      </c>
      <c r="F4" s="42" t="s">
        <v>307</v>
      </c>
      <c r="G4" s="46" t="s">
        <v>308</v>
      </c>
      <c r="H4" s="47">
        <v>18.649999999999999</v>
      </c>
      <c r="I4" s="47">
        <v>18.829999999999998</v>
      </c>
      <c r="J4" s="47">
        <v>19.43</v>
      </c>
      <c r="K4" s="47">
        <v>19.63</v>
      </c>
      <c r="L4" s="47">
        <v>19.510000000000002</v>
      </c>
      <c r="M4" s="47">
        <v>19.64</v>
      </c>
      <c r="N4" s="47">
        <v>19.602638727202173</v>
      </c>
      <c r="O4" s="47">
        <v>18.736447774349934</v>
      </c>
      <c r="P4" s="47">
        <v>19.295510651915517</v>
      </c>
      <c r="Q4" s="26">
        <v>17.630071680899956</v>
      </c>
      <c r="R4" s="26">
        <v>18.810604982985193</v>
      </c>
      <c r="S4" s="26">
        <v>18.509352139822155</v>
      </c>
    </row>
    <row r="5" spans="1:19" ht="78" customHeight="1">
      <c r="A5" s="379"/>
      <c r="B5" s="380"/>
      <c r="C5" s="379"/>
      <c r="D5" s="379"/>
      <c r="E5" s="48" t="s">
        <v>309</v>
      </c>
      <c r="F5" s="42" t="s">
        <v>310</v>
      </c>
      <c r="G5" s="43">
        <v>1</v>
      </c>
      <c r="H5" s="43">
        <v>1.04</v>
      </c>
      <c r="I5" s="43">
        <v>1.04</v>
      </c>
      <c r="J5" s="43">
        <v>1.08</v>
      </c>
      <c r="K5" s="43">
        <v>1.0900000000000001</v>
      </c>
      <c r="L5" s="43">
        <v>1.08</v>
      </c>
      <c r="M5" s="43">
        <v>1.0900000000000001</v>
      </c>
      <c r="N5" s="43">
        <v>1.0890354848445651</v>
      </c>
      <c r="O5" s="43">
        <v>1.0409137652416629</v>
      </c>
      <c r="P5" s="43">
        <v>1.0719728139953064</v>
      </c>
      <c r="Q5" s="52">
        <v>0.97944842671666421</v>
      </c>
      <c r="R5" s="52">
        <v>1.0450336101658442</v>
      </c>
      <c r="S5" s="52">
        <v>1.0282973411012308</v>
      </c>
    </row>
    <row r="6" spans="1:19" ht="78" customHeight="1">
      <c r="A6" s="379" t="s">
        <v>311</v>
      </c>
      <c r="B6" s="380" t="s">
        <v>4</v>
      </c>
      <c r="C6" s="379" t="s">
        <v>312</v>
      </c>
      <c r="D6" s="379" t="s">
        <v>300</v>
      </c>
      <c r="E6" s="48" t="s">
        <v>313</v>
      </c>
      <c r="F6" s="379" t="s">
        <v>314</v>
      </c>
      <c r="G6" s="381">
        <v>0.99</v>
      </c>
      <c r="H6" s="44">
        <v>1</v>
      </c>
      <c r="I6" s="44">
        <v>1</v>
      </c>
      <c r="J6" s="44">
        <v>1</v>
      </c>
      <c r="K6" s="44">
        <v>1</v>
      </c>
      <c r="L6" s="44">
        <v>1</v>
      </c>
      <c r="M6" s="44">
        <v>1</v>
      </c>
      <c r="N6" s="44">
        <v>1</v>
      </c>
      <c r="O6" s="44">
        <v>1</v>
      </c>
      <c r="P6" s="44">
        <v>1</v>
      </c>
      <c r="Q6" s="14">
        <v>1</v>
      </c>
      <c r="R6" s="45">
        <v>1</v>
      </c>
      <c r="S6" s="45">
        <v>1</v>
      </c>
    </row>
    <row r="7" spans="1:19" ht="78" customHeight="1">
      <c r="A7" s="379"/>
      <c r="B7" s="380"/>
      <c r="C7" s="379"/>
      <c r="D7" s="379"/>
      <c r="E7" s="48" t="s">
        <v>315</v>
      </c>
      <c r="F7" s="379"/>
      <c r="G7" s="381"/>
      <c r="H7" s="45">
        <v>1</v>
      </c>
      <c r="I7" s="44">
        <v>1</v>
      </c>
      <c r="J7" s="44">
        <v>1</v>
      </c>
      <c r="K7" s="44">
        <v>1</v>
      </c>
      <c r="L7" s="44">
        <v>1</v>
      </c>
      <c r="M7" s="44">
        <v>1</v>
      </c>
      <c r="N7" s="44">
        <v>1</v>
      </c>
      <c r="O7" s="44">
        <v>1</v>
      </c>
      <c r="P7" s="44">
        <v>1</v>
      </c>
      <c r="Q7" s="14">
        <v>1</v>
      </c>
      <c r="R7" s="45">
        <v>1</v>
      </c>
      <c r="S7" s="45">
        <v>1</v>
      </c>
    </row>
    <row r="8" spans="1:19" ht="78" customHeight="1">
      <c r="A8" s="379"/>
      <c r="B8" s="69" t="s">
        <v>5</v>
      </c>
      <c r="C8" s="42" t="s">
        <v>316</v>
      </c>
      <c r="D8" s="42" t="s">
        <v>300</v>
      </c>
      <c r="E8" s="42" t="s">
        <v>317</v>
      </c>
      <c r="F8" s="42" t="s">
        <v>318</v>
      </c>
      <c r="G8" s="44">
        <v>0.95</v>
      </c>
      <c r="H8" s="49">
        <v>0.98037974683544304</v>
      </c>
      <c r="I8" s="49">
        <v>0.98898347521281926</v>
      </c>
      <c r="J8" s="49">
        <v>0.99739999999999995</v>
      </c>
      <c r="K8" s="49">
        <v>0.99950000000000006</v>
      </c>
      <c r="L8" s="49">
        <v>1</v>
      </c>
      <c r="M8" s="49">
        <v>1</v>
      </c>
      <c r="N8" s="49">
        <v>1</v>
      </c>
      <c r="O8" s="53">
        <v>0.99436741767764303</v>
      </c>
      <c r="P8" s="53">
        <v>0.99806389157792841</v>
      </c>
      <c r="Q8" s="53">
        <v>0.98983050847457632</v>
      </c>
      <c r="R8" s="45">
        <v>0.99284534947716019</v>
      </c>
      <c r="S8" s="45">
        <v>0.90438001233806298</v>
      </c>
    </row>
    <row r="9" spans="1:19" ht="78" customHeight="1">
      <c r="A9" s="379"/>
      <c r="B9" s="69" t="s">
        <v>23</v>
      </c>
      <c r="C9" s="42" t="s">
        <v>319</v>
      </c>
      <c r="D9" s="42" t="s">
        <v>300</v>
      </c>
      <c r="E9" s="42" t="s">
        <v>320</v>
      </c>
      <c r="F9" s="42" t="s">
        <v>314</v>
      </c>
      <c r="G9" s="44">
        <v>0.95</v>
      </c>
      <c r="H9" s="43">
        <v>1</v>
      </c>
      <c r="I9" s="50">
        <v>0.99913941480206536</v>
      </c>
      <c r="J9" s="50">
        <v>0.99829999999999997</v>
      </c>
      <c r="K9" s="50">
        <v>1</v>
      </c>
      <c r="L9" s="50">
        <v>1</v>
      </c>
      <c r="M9" s="50">
        <v>1</v>
      </c>
      <c r="N9" s="50">
        <v>1</v>
      </c>
      <c r="O9" s="49">
        <v>1</v>
      </c>
      <c r="P9" s="49">
        <v>1</v>
      </c>
      <c r="Q9" s="14">
        <v>1</v>
      </c>
      <c r="R9" s="45">
        <v>1</v>
      </c>
      <c r="S9" s="45">
        <v>1</v>
      </c>
    </row>
    <row r="10" spans="1:19" ht="78" customHeight="1">
      <c r="A10" s="379" t="s">
        <v>321</v>
      </c>
      <c r="B10" s="380" t="s">
        <v>322</v>
      </c>
      <c r="C10" s="379" t="s">
        <v>323</v>
      </c>
      <c r="D10" s="379" t="s">
        <v>300</v>
      </c>
      <c r="E10" s="48" t="s">
        <v>324</v>
      </c>
      <c r="F10" s="379" t="s">
        <v>325</v>
      </c>
      <c r="G10" s="52">
        <v>1</v>
      </c>
      <c r="H10" s="43">
        <v>1</v>
      </c>
      <c r="I10" s="43">
        <v>1</v>
      </c>
      <c r="J10" s="43">
        <v>1</v>
      </c>
      <c r="K10" s="43">
        <v>1</v>
      </c>
      <c r="L10" s="43">
        <v>1</v>
      </c>
      <c r="M10" s="43">
        <v>1</v>
      </c>
      <c r="N10" s="50">
        <v>0.98863636363636365</v>
      </c>
      <c r="O10" s="50">
        <v>1</v>
      </c>
      <c r="P10" s="50">
        <v>1</v>
      </c>
      <c r="Q10" s="43">
        <v>1</v>
      </c>
      <c r="R10" s="43">
        <v>1</v>
      </c>
      <c r="S10" s="43">
        <v>1</v>
      </c>
    </row>
    <row r="11" spans="1:19" ht="78" customHeight="1">
      <c r="A11" s="379"/>
      <c r="B11" s="380"/>
      <c r="C11" s="379"/>
      <c r="D11" s="379"/>
      <c r="E11" s="48" t="s">
        <v>326</v>
      </c>
      <c r="F11" s="379"/>
      <c r="G11" s="43">
        <v>0.98</v>
      </c>
      <c r="H11" s="43">
        <v>1</v>
      </c>
      <c r="I11" s="43">
        <v>1</v>
      </c>
      <c r="J11" s="43">
        <v>1</v>
      </c>
      <c r="K11" s="43">
        <v>1</v>
      </c>
      <c r="L11" s="43">
        <v>1</v>
      </c>
      <c r="M11" s="43">
        <v>1</v>
      </c>
      <c r="N11" s="50">
        <v>0.97126436781609193</v>
      </c>
      <c r="O11" s="50">
        <v>1</v>
      </c>
      <c r="P11" s="50">
        <v>1</v>
      </c>
      <c r="Q11" s="43">
        <v>1</v>
      </c>
      <c r="R11" s="50">
        <v>0.99481865284974091</v>
      </c>
      <c r="S11" s="43">
        <v>1</v>
      </c>
    </row>
    <row r="12" spans="1:19" ht="78" customHeight="1">
      <c r="A12" s="379" t="s">
        <v>327</v>
      </c>
      <c r="B12" s="380" t="s">
        <v>22</v>
      </c>
      <c r="C12" s="379" t="s">
        <v>328</v>
      </c>
      <c r="D12" s="379" t="s">
        <v>300</v>
      </c>
      <c r="E12" s="48" t="s">
        <v>329</v>
      </c>
      <c r="F12" s="379" t="s">
        <v>330</v>
      </c>
      <c r="G12" s="43">
        <v>0.95</v>
      </c>
      <c r="H12" s="44">
        <v>1</v>
      </c>
      <c r="I12" s="45">
        <v>0.99724137931034484</v>
      </c>
      <c r="J12" s="45">
        <v>0.99819999999999998</v>
      </c>
      <c r="K12" s="45">
        <v>0.99695817490494298</v>
      </c>
      <c r="L12" s="45">
        <v>0.99497126436781613</v>
      </c>
      <c r="M12" s="45">
        <v>0.99683794466403164</v>
      </c>
      <c r="N12" s="45">
        <v>1</v>
      </c>
      <c r="O12" s="45">
        <v>1</v>
      </c>
      <c r="P12" s="45">
        <v>1</v>
      </c>
      <c r="Q12" s="14">
        <v>1</v>
      </c>
      <c r="R12" s="43">
        <v>1</v>
      </c>
      <c r="S12" s="43">
        <v>1</v>
      </c>
    </row>
    <row r="13" spans="1:19" ht="78" customHeight="1">
      <c r="A13" s="379"/>
      <c r="B13" s="380"/>
      <c r="C13" s="379"/>
      <c r="D13" s="379"/>
      <c r="E13" s="48" t="s">
        <v>331</v>
      </c>
      <c r="F13" s="379"/>
      <c r="G13" s="48" t="s">
        <v>332</v>
      </c>
      <c r="H13" s="48">
        <v>3.19</v>
      </c>
      <c r="I13" s="48">
        <v>3.05</v>
      </c>
      <c r="J13" s="47">
        <v>3.06</v>
      </c>
      <c r="K13" s="47">
        <v>3.166054281949934</v>
      </c>
      <c r="L13" s="47">
        <v>2.62</v>
      </c>
      <c r="M13" s="47">
        <v>2.4272045714285713</v>
      </c>
      <c r="N13" s="47">
        <v>3.0954430641821942</v>
      </c>
      <c r="O13" s="47">
        <v>2.8607012095456033</v>
      </c>
      <c r="P13" s="47">
        <v>3.0412985274431064</v>
      </c>
      <c r="Q13" s="26">
        <v>2.6866735537190078</v>
      </c>
      <c r="R13" s="26">
        <v>2.7876992936887675</v>
      </c>
      <c r="S13" s="26">
        <v>2.813245227038184</v>
      </c>
    </row>
  </sheetData>
  <mergeCells count="20">
    <mergeCell ref="A12:A13"/>
    <mergeCell ref="B12:B13"/>
    <mergeCell ref="C12:C13"/>
    <mergeCell ref="D12:D13"/>
    <mergeCell ref="F12:F13"/>
    <mergeCell ref="A2:A5"/>
    <mergeCell ref="B4:B5"/>
    <mergeCell ref="C4:C5"/>
    <mergeCell ref="D4:D5"/>
    <mergeCell ref="A6:A9"/>
    <mergeCell ref="B6:B7"/>
    <mergeCell ref="C6:C7"/>
    <mergeCell ref="D6:D7"/>
    <mergeCell ref="F6:F7"/>
    <mergeCell ref="G6:G7"/>
    <mergeCell ref="A10:A11"/>
    <mergeCell ref="B10:B11"/>
    <mergeCell ref="C10:C11"/>
    <mergeCell ref="D10:D11"/>
    <mergeCell ref="F10:F11"/>
  </mergeCells>
  <phoneticPr fontId="50"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03AB9-4638-4168-8CE3-B832E50E8EA9}">
  <dimension ref="A1:F55"/>
  <sheetViews>
    <sheetView workbookViewId="0">
      <selection activeCell="C57" sqref="C57"/>
    </sheetView>
  </sheetViews>
  <sheetFormatPr defaultRowHeight="15"/>
  <cols>
    <col min="1" max="1" width="14.140625" bestFit="1" customWidth="1"/>
    <col min="2" max="2" width="17.7109375" bestFit="1" customWidth="1"/>
    <col min="3" max="3" width="14.140625" bestFit="1" customWidth="1"/>
    <col min="4" max="4" width="15.5703125" bestFit="1" customWidth="1"/>
    <col min="5" max="5" width="13.42578125" bestFit="1" customWidth="1"/>
    <col min="6" max="6" width="10.140625" bestFit="1" customWidth="1"/>
  </cols>
  <sheetData>
    <row r="1" spans="1:6" ht="18" customHeight="1">
      <c r="A1" s="370" t="s">
        <v>70</v>
      </c>
      <c r="B1" s="371" t="s">
        <v>526</v>
      </c>
      <c r="C1" s="372" t="s">
        <v>527</v>
      </c>
      <c r="D1" s="372" t="s">
        <v>393</v>
      </c>
      <c r="E1" s="372" t="s">
        <v>1105</v>
      </c>
      <c r="F1" s="372" t="s">
        <v>528</v>
      </c>
    </row>
    <row r="2" spans="1:6">
      <c r="A2" s="352" t="s">
        <v>529</v>
      </c>
      <c r="B2" s="351">
        <v>45496</v>
      </c>
      <c r="C2" s="4">
        <v>53</v>
      </c>
      <c r="D2" s="4">
        <v>29</v>
      </c>
      <c r="E2" s="4">
        <v>22</v>
      </c>
      <c r="F2" s="4">
        <v>0</v>
      </c>
    </row>
    <row r="3" spans="1:6">
      <c r="A3" s="352" t="s">
        <v>529</v>
      </c>
      <c r="B3" s="351">
        <v>45527</v>
      </c>
      <c r="C3" s="4">
        <v>53</v>
      </c>
      <c r="D3" s="4">
        <v>29</v>
      </c>
      <c r="E3" s="4">
        <v>23</v>
      </c>
      <c r="F3" s="4">
        <v>0</v>
      </c>
    </row>
    <row r="4" spans="1:6">
      <c r="A4" s="352" t="s">
        <v>529</v>
      </c>
      <c r="B4" s="351">
        <v>45558</v>
      </c>
      <c r="C4" s="4">
        <v>53</v>
      </c>
      <c r="D4" s="4">
        <v>29</v>
      </c>
      <c r="E4" s="4">
        <v>41</v>
      </c>
      <c r="F4" s="4">
        <v>0</v>
      </c>
    </row>
    <row r="5" spans="1:6">
      <c r="A5" s="352" t="s">
        <v>529</v>
      </c>
      <c r="B5" s="351">
        <v>45588</v>
      </c>
      <c r="C5" s="4">
        <v>69</v>
      </c>
      <c r="D5" s="4">
        <v>29</v>
      </c>
      <c r="E5" s="4">
        <v>41</v>
      </c>
      <c r="F5" s="4">
        <v>0</v>
      </c>
    </row>
    <row r="6" spans="1:6">
      <c r="A6" s="352" t="s">
        <v>529</v>
      </c>
      <c r="B6" s="351">
        <v>45619</v>
      </c>
      <c r="C6" s="4">
        <v>69</v>
      </c>
      <c r="D6" s="4">
        <v>29</v>
      </c>
      <c r="E6" s="4">
        <v>46</v>
      </c>
      <c r="F6" s="4">
        <v>3</v>
      </c>
    </row>
    <row r="7" spans="1:6">
      <c r="A7" s="352" t="s">
        <v>529</v>
      </c>
      <c r="B7" s="351">
        <v>45649</v>
      </c>
      <c r="C7" s="4">
        <v>69</v>
      </c>
      <c r="D7" s="4">
        <v>29</v>
      </c>
      <c r="E7" s="4">
        <v>51</v>
      </c>
      <c r="F7" s="4">
        <v>3</v>
      </c>
    </row>
    <row r="8" spans="1:6">
      <c r="A8" s="352" t="s">
        <v>529</v>
      </c>
      <c r="B8" s="351">
        <v>45315</v>
      </c>
      <c r="C8" s="4">
        <v>69</v>
      </c>
      <c r="D8" s="4">
        <v>28</v>
      </c>
      <c r="E8" s="4">
        <v>51</v>
      </c>
      <c r="F8" s="4">
        <v>4</v>
      </c>
    </row>
    <row r="9" spans="1:6">
      <c r="A9" s="352" t="s">
        <v>529</v>
      </c>
      <c r="B9" s="351">
        <v>45346</v>
      </c>
      <c r="C9" s="4">
        <v>69</v>
      </c>
      <c r="D9" s="4">
        <v>26</v>
      </c>
      <c r="E9" s="4">
        <v>51</v>
      </c>
      <c r="F9" s="4">
        <v>7</v>
      </c>
    </row>
    <row r="10" spans="1:6">
      <c r="A10" s="352" t="s">
        <v>529</v>
      </c>
      <c r="B10" s="351">
        <v>45375</v>
      </c>
      <c r="C10" s="4">
        <f>16+39+14</f>
        <v>69</v>
      </c>
      <c r="D10" s="4">
        <v>27</v>
      </c>
      <c r="E10" s="4">
        <v>51</v>
      </c>
      <c r="F10" s="4">
        <v>7</v>
      </c>
    </row>
    <row r="11" spans="1:6">
      <c r="A11" s="352" t="s">
        <v>529</v>
      </c>
      <c r="B11" s="351">
        <v>45406</v>
      </c>
      <c r="C11" s="4">
        <f>52+16</f>
        <v>68</v>
      </c>
      <c r="D11" s="4">
        <v>27</v>
      </c>
      <c r="E11" s="4">
        <v>50</v>
      </c>
      <c r="F11" s="4">
        <v>7</v>
      </c>
    </row>
    <row r="12" spans="1:6">
      <c r="A12" s="352" t="s">
        <v>529</v>
      </c>
      <c r="B12" s="351">
        <v>45436</v>
      </c>
      <c r="C12" s="4">
        <v>67</v>
      </c>
      <c r="D12" s="4">
        <v>27</v>
      </c>
      <c r="E12" s="4">
        <v>49</v>
      </c>
      <c r="F12" s="4">
        <v>7</v>
      </c>
    </row>
    <row r="13" spans="1:6">
      <c r="A13" s="352" t="s">
        <v>529</v>
      </c>
      <c r="B13" s="351">
        <v>45467</v>
      </c>
      <c r="C13" s="4">
        <v>68</v>
      </c>
      <c r="D13" s="4">
        <v>26</v>
      </c>
      <c r="E13" s="4">
        <v>62</v>
      </c>
      <c r="F13" s="4">
        <v>7</v>
      </c>
    </row>
    <row r="14" spans="1:6">
      <c r="A14" s="373"/>
      <c r="B14" s="353"/>
      <c r="C14" s="353"/>
      <c r="D14" s="353"/>
      <c r="E14" s="353"/>
      <c r="F14" s="353"/>
    </row>
    <row r="15" spans="1:6">
      <c r="A15" s="370" t="s">
        <v>70</v>
      </c>
      <c r="B15" s="371" t="s">
        <v>526</v>
      </c>
      <c r="C15" s="372" t="s">
        <v>527</v>
      </c>
      <c r="D15" s="372" t="s">
        <v>393</v>
      </c>
      <c r="E15" s="372" t="s">
        <v>1105</v>
      </c>
      <c r="F15" s="372" t="s">
        <v>528</v>
      </c>
    </row>
    <row r="16" spans="1:6">
      <c r="A16" s="352" t="s">
        <v>530</v>
      </c>
      <c r="B16" s="351">
        <v>45496</v>
      </c>
      <c r="C16" s="4">
        <v>16</v>
      </c>
      <c r="D16" s="4">
        <v>0</v>
      </c>
      <c r="E16" s="4">
        <v>3</v>
      </c>
      <c r="F16" s="4">
        <v>0</v>
      </c>
    </row>
    <row r="17" spans="1:6">
      <c r="A17" s="352" t="s">
        <v>530</v>
      </c>
      <c r="B17" s="351">
        <v>45527</v>
      </c>
      <c r="C17" s="4">
        <v>16</v>
      </c>
      <c r="D17" s="4">
        <v>0</v>
      </c>
      <c r="E17" s="4">
        <v>3</v>
      </c>
      <c r="F17" s="4">
        <v>0</v>
      </c>
    </row>
    <row r="18" spans="1:6">
      <c r="A18" s="352" t="s">
        <v>530</v>
      </c>
      <c r="B18" s="351">
        <v>45558</v>
      </c>
      <c r="C18" s="4">
        <v>16</v>
      </c>
      <c r="D18" s="4">
        <v>0</v>
      </c>
      <c r="E18" s="4">
        <v>16</v>
      </c>
      <c r="F18" s="4">
        <v>0</v>
      </c>
    </row>
    <row r="19" spans="1:6">
      <c r="A19" s="352" t="s">
        <v>530</v>
      </c>
      <c r="B19" s="351">
        <v>45588</v>
      </c>
      <c r="C19" s="4">
        <v>16</v>
      </c>
      <c r="D19" s="4">
        <v>0</v>
      </c>
      <c r="E19" s="4">
        <v>3</v>
      </c>
      <c r="F19" s="4">
        <v>0</v>
      </c>
    </row>
    <row r="20" spans="1:6">
      <c r="A20" s="352" t="s">
        <v>530</v>
      </c>
      <c r="B20" s="351">
        <v>45619</v>
      </c>
      <c r="C20" s="4">
        <v>16</v>
      </c>
      <c r="D20" s="4">
        <v>0</v>
      </c>
      <c r="E20" s="4">
        <v>3</v>
      </c>
      <c r="F20" s="4">
        <v>4</v>
      </c>
    </row>
    <row r="21" spans="1:6">
      <c r="A21" s="352" t="s">
        <v>530</v>
      </c>
      <c r="B21" s="351">
        <v>45649</v>
      </c>
      <c r="C21" s="4">
        <v>16</v>
      </c>
      <c r="D21" s="4">
        <v>0</v>
      </c>
      <c r="E21" s="4">
        <v>17</v>
      </c>
      <c r="F21" s="4">
        <v>6</v>
      </c>
    </row>
    <row r="22" spans="1:6">
      <c r="A22" s="352" t="s">
        <v>530</v>
      </c>
      <c r="B22" s="351">
        <v>45315</v>
      </c>
      <c r="C22" s="4">
        <v>16</v>
      </c>
      <c r="D22" s="4">
        <v>0</v>
      </c>
      <c r="E22" s="4">
        <v>19</v>
      </c>
      <c r="F22" s="4">
        <v>4</v>
      </c>
    </row>
    <row r="23" spans="1:6">
      <c r="A23" s="352" t="s">
        <v>530</v>
      </c>
      <c r="B23" s="351">
        <v>45346</v>
      </c>
      <c r="C23" s="4">
        <v>16</v>
      </c>
      <c r="D23" s="4">
        <v>0</v>
      </c>
      <c r="E23" s="4">
        <v>19</v>
      </c>
      <c r="F23" s="4">
        <v>6</v>
      </c>
    </row>
    <row r="24" spans="1:6">
      <c r="A24" s="352" t="s">
        <v>530</v>
      </c>
      <c r="B24" s="351">
        <v>45375</v>
      </c>
      <c r="C24" s="4">
        <f>1+6+9</f>
        <v>16</v>
      </c>
      <c r="D24" s="4">
        <v>0</v>
      </c>
      <c r="E24" s="4">
        <f>11+8</f>
        <v>19</v>
      </c>
      <c r="F24" s="4">
        <v>8</v>
      </c>
    </row>
    <row r="25" spans="1:6">
      <c r="A25" s="352" t="s">
        <v>530</v>
      </c>
      <c r="B25" s="351">
        <v>45406</v>
      </c>
      <c r="C25" s="4">
        <v>15</v>
      </c>
      <c r="D25" s="4">
        <v>0</v>
      </c>
      <c r="E25" s="4">
        <v>3</v>
      </c>
      <c r="F25" s="4">
        <v>6</v>
      </c>
    </row>
    <row r="26" spans="1:6">
      <c r="A26" s="352" t="s">
        <v>530</v>
      </c>
      <c r="B26" s="351">
        <v>45436</v>
      </c>
      <c r="C26" s="4">
        <v>20</v>
      </c>
      <c r="D26" s="4">
        <v>0</v>
      </c>
      <c r="E26" s="4">
        <v>3</v>
      </c>
      <c r="F26" s="4">
        <v>6</v>
      </c>
    </row>
    <row r="27" spans="1:6">
      <c r="A27" s="352" t="s">
        <v>530</v>
      </c>
      <c r="B27" s="351">
        <v>45467</v>
      </c>
      <c r="C27" s="4">
        <v>21</v>
      </c>
      <c r="D27" s="4">
        <v>0</v>
      </c>
      <c r="E27" s="4">
        <v>20</v>
      </c>
      <c r="F27" s="4">
        <v>8</v>
      </c>
    </row>
    <row r="28" spans="1:6">
      <c r="A28" s="373"/>
      <c r="B28" s="353"/>
      <c r="C28" s="353"/>
      <c r="D28" s="353"/>
      <c r="E28" s="353"/>
      <c r="F28" s="353"/>
    </row>
    <row r="29" spans="1:6">
      <c r="A29" s="370" t="s">
        <v>70</v>
      </c>
      <c r="B29" s="371" t="s">
        <v>526</v>
      </c>
      <c r="C29" s="372" t="s">
        <v>527</v>
      </c>
      <c r="D29" s="372" t="s">
        <v>393</v>
      </c>
      <c r="E29" s="372" t="s">
        <v>1105</v>
      </c>
      <c r="F29" s="372" t="s">
        <v>528</v>
      </c>
    </row>
    <row r="30" spans="1:6">
      <c r="A30" s="352" t="s">
        <v>531</v>
      </c>
      <c r="B30" s="351">
        <v>45496</v>
      </c>
      <c r="C30" s="4">
        <v>2</v>
      </c>
      <c r="D30" s="4">
        <v>31</v>
      </c>
      <c r="E30" s="4">
        <v>2</v>
      </c>
      <c r="F30" s="4">
        <v>0</v>
      </c>
    </row>
    <row r="31" spans="1:6">
      <c r="A31" s="352" t="s">
        <v>531</v>
      </c>
      <c r="B31" s="351">
        <v>45527</v>
      </c>
      <c r="C31" s="4">
        <v>2</v>
      </c>
      <c r="D31" s="4">
        <v>31</v>
      </c>
      <c r="E31" s="4">
        <v>2</v>
      </c>
      <c r="F31" s="4">
        <v>0</v>
      </c>
    </row>
    <row r="32" spans="1:6">
      <c r="A32" s="352" t="s">
        <v>531</v>
      </c>
      <c r="B32" s="351">
        <v>45558</v>
      </c>
      <c r="C32" s="4">
        <v>2</v>
      </c>
      <c r="D32" s="4">
        <v>31</v>
      </c>
      <c r="E32" s="4">
        <v>10</v>
      </c>
      <c r="F32" s="4">
        <v>0</v>
      </c>
    </row>
    <row r="33" spans="1:6">
      <c r="A33" s="352" t="s">
        <v>531</v>
      </c>
      <c r="B33" s="351">
        <v>45588</v>
      </c>
      <c r="C33" s="4">
        <v>2</v>
      </c>
      <c r="D33" s="4">
        <v>29</v>
      </c>
      <c r="E33" s="4">
        <v>10</v>
      </c>
      <c r="F33" s="4">
        <v>0</v>
      </c>
    </row>
    <row r="34" spans="1:6">
      <c r="A34" s="352" t="s">
        <v>531</v>
      </c>
      <c r="B34" s="351">
        <v>45619</v>
      </c>
      <c r="C34" s="4">
        <v>2</v>
      </c>
      <c r="D34" s="4">
        <v>29</v>
      </c>
      <c r="E34" s="4">
        <v>18</v>
      </c>
      <c r="F34" s="4">
        <v>0</v>
      </c>
    </row>
    <row r="35" spans="1:6">
      <c r="A35" s="352" t="s">
        <v>531</v>
      </c>
      <c r="B35" s="351">
        <v>45649</v>
      </c>
      <c r="C35" s="4">
        <v>2</v>
      </c>
      <c r="D35" s="4">
        <v>29</v>
      </c>
      <c r="E35" s="4">
        <v>38</v>
      </c>
      <c r="F35" s="4">
        <v>0</v>
      </c>
    </row>
    <row r="36" spans="1:6">
      <c r="A36" s="352" t="s">
        <v>531</v>
      </c>
      <c r="B36" s="351">
        <v>45315</v>
      </c>
      <c r="C36" s="4">
        <v>2</v>
      </c>
      <c r="D36" s="4">
        <v>26</v>
      </c>
      <c r="E36" s="4">
        <v>38</v>
      </c>
      <c r="F36" s="4">
        <v>0</v>
      </c>
    </row>
    <row r="37" spans="1:6">
      <c r="A37" s="352" t="s">
        <v>531</v>
      </c>
      <c r="B37" s="351">
        <v>45346</v>
      </c>
      <c r="C37" s="4">
        <v>2</v>
      </c>
      <c r="D37" s="4">
        <v>24</v>
      </c>
      <c r="E37" s="4">
        <v>38</v>
      </c>
      <c r="F37" s="4">
        <v>2</v>
      </c>
    </row>
    <row r="38" spans="1:6">
      <c r="A38" s="352" t="s">
        <v>531</v>
      </c>
      <c r="B38" s="351">
        <v>45375</v>
      </c>
      <c r="C38" s="4">
        <f>1+1</f>
        <v>2</v>
      </c>
      <c r="D38" s="4">
        <v>26</v>
      </c>
      <c r="E38" s="4">
        <v>37</v>
      </c>
      <c r="F38" s="4">
        <v>2</v>
      </c>
    </row>
    <row r="39" spans="1:6">
      <c r="A39" s="352" t="s">
        <v>531</v>
      </c>
      <c r="B39" s="351">
        <v>45406</v>
      </c>
      <c r="C39" s="4">
        <v>2</v>
      </c>
      <c r="D39" s="4">
        <v>25</v>
      </c>
      <c r="E39" s="4">
        <v>34</v>
      </c>
      <c r="F39" s="4">
        <v>2</v>
      </c>
    </row>
    <row r="40" spans="1:6">
      <c r="A40" s="352" t="s">
        <v>531</v>
      </c>
      <c r="B40" s="351">
        <v>45436</v>
      </c>
      <c r="C40" s="4">
        <v>2</v>
      </c>
      <c r="D40" s="4">
        <v>25</v>
      </c>
      <c r="E40" s="4">
        <v>34</v>
      </c>
      <c r="F40" s="4">
        <v>2</v>
      </c>
    </row>
    <row r="41" spans="1:6">
      <c r="A41" s="352" t="s">
        <v>531</v>
      </c>
      <c r="B41" s="351">
        <v>45467</v>
      </c>
      <c r="C41" s="4">
        <v>3</v>
      </c>
      <c r="D41" s="4">
        <v>22</v>
      </c>
      <c r="E41" s="4">
        <v>43</v>
      </c>
      <c r="F41" s="4">
        <v>2</v>
      </c>
    </row>
    <row r="42" spans="1:6">
      <c r="A42" s="373"/>
      <c r="B42" s="353"/>
      <c r="C42" s="353"/>
      <c r="D42" s="353"/>
      <c r="E42" s="353"/>
      <c r="F42" s="353"/>
    </row>
    <row r="43" spans="1:6">
      <c r="A43" s="370" t="s">
        <v>70</v>
      </c>
      <c r="B43" s="371" t="s">
        <v>526</v>
      </c>
      <c r="C43" s="372" t="s">
        <v>527</v>
      </c>
      <c r="D43" s="372" t="s">
        <v>393</v>
      </c>
      <c r="E43" s="372" t="s">
        <v>1105</v>
      </c>
      <c r="F43" s="372" t="s">
        <v>528</v>
      </c>
    </row>
    <row r="44" spans="1:6">
      <c r="A44" s="352" t="s">
        <v>532</v>
      </c>
      <c r="B44" s="351">
        <v>45496</v>
      </c>
      <c r="C44" s="4">
        <v>71</v>
      </c>
      <c r="D44" s="4">
        <v>60</v>
      </c>
      <c r="E44" s="4">
        <v>27</v>
      </c>
      <c r="F44" s="4">
        <v>0</v>
      </c>
    </row>
    <row r="45" spans="1:6">
      <c r="A45" s="352" t="s">
        <v>532</v>
      </c>
      <c r="B45" s="351">
        <v>45527</v>
      </c>
      <c r="C45" s="4">
        <v>71</v>
      </c>
      <c r="D45" s="4">
        <v>60</v>
      </c>
      <c r="E45" s="4">
        <v>28</v>
      </c>
      <c r="F45" s="4">
        <v>0</v>
      </c>
    </row>
    <row r="46" spans="1:6">
      <c r="A46" s="352" t="s">
        <v>532</v>
      </c>
      <c r="B46" s="351">
        <v>45558</v>
      </c>
      <c r="C46" s="4">
        <v>71</v>
      </c>
      <c r="D46" s="4">
        <v>60</v>
      </c>
      <c r="E46" s="4">
        <v>67</v>
      </c>
      <c r="F46" s="4">
        <v>0</v>
      </c>
    </row>
    <row r="47" spans="1:6">
      <c r="A47" s="352" t="s">
        <v>532</v>
      </c>
      <c r="B47" s="351">
        <v>45588</v>
      </c>
      <c r="C47" s="4">
        <v>87</v>
      </c>
      <c r="D47" s="4">
        <v>58</v>
      </c>
      <c r="E47" s="4">
        <v>54</v>
      </c>
      <c r="F47" s="4">
        <v>0</v>
      </c>
    </row>
    <row r="48" spans="1:6">
      <c r="A48" s="352" t="s">
        <v>532</v>
      </c>
      <c r="B48" s="351">
        <v>45619</v>
      </c>
      <c r="C48" s="4">
        <v>87</v>
      </c>
      <c r="D48" s="4">
        <v>58</v>
      </c>
      <c r="E48" s="4">
        <v>67</v>
      </c>
      <c r="F48" s="4">
        <v>7</v>
      </c>
    </row>
    <row r="49" spans="1:6">
      <c r="A49" s="352" t="s">
        <v>532</v>
      </c>
      <c r="B49" s="351">
        <v>45649</v>
      </c>
      <c r="C49" s="4">
        <v>87</v>
      </c>
      <c r="D49" s="4">
        <v>58</v>
      </c>
      <c r="E49" s="4">
        <v>106</v>
      </c>
      <c r="F49" s="4">
        <v>9</v>
      </c>
    </row>
    <row r="50" spans="1:6">
      <c r="A50" s="352" t="s">
        <v>532</v>
      </c>
      <c r="B50" s="351">
        <v>45315</v>
      </c>
      <c r="C50" s="4">
        <v>87</v>
      </c>
      <c r="D50" s="4">
        <v>54</v>
      </c>
      <c r="E50" s="4">
        <v>108</v>
      </c>
      <c r="F50" s="4">
        <v>8</v>
      </c>
    </row>
    <row r="51" spans="1:6">
      <c r="A51" s="352" t="s">
        <v>532</v>
      </c>
      <c r="B51" s="351">
        <v>45346</v>
      </c>
      <c r="C51" s="4">
        <v>87</v>
      </c>
      <c r="D51" s="4">
        <v>50</v>
      </c>
      <c r="E51" s="4">
        <v>108</v>
      </c>
      <c r="F51" s="4">
        <v>15</v>
      </c>
    </row>
    <row r="52" spans="1:6">
      <c r="A52" s="352" t="s">
        <v>532</v>
      </c>
      <c r="B52" s="351">
        <v>45375</v>
      </c>
      <c r="C52" s="4">
        <f t="shared" ref="C52:F55" si="0">SUM(C38,C24,C10)</f>
        <v>87</v>
      </c>
      <c r="D52" s="4">
        <f t="shared" si="0"/>
        <v>53</v>
      </c>
      <c r="E52" s="4">
        <f t="shared" si="0"/>
        <v>107</v>
      </c>
      <c r="F52" s="4">
        <f t="shared" si="0"/>
        <v>17</v>
      </c>
    </row>
    <row r="53" spans="1:6">
      <c r="A53" s="352" t="s">
        <v>532</v>
      </c>
      <c r="B53" s="351">
        <v>45406</v>
      </c>
      <c r="C53" s="4">
        <f t="shared" si="0"/>
        <v>85</v>
      </c>
      <c r="D53" s="4">
        <f t="shared" si="0"/>
        <v>52</v>
      </c>
      <c r="E53" s="4">
        <f t="shared" si="0"/>
        <v>87</v>
      </c>
      <c r="F53" s="4">
        <f t="shared" si="0"/>
        <v>15</v>
      </c>
    </row>
    <row r="54" spans="1:6">
      <c r="A54" s="352" t="s">
        <v>532</v>
      </c>
      <c r="B54" s="351">
        <v>45436</v>
      </c>
      <c r="C54" s="4">
        <f>SUM(C40,C26,C12)</f>
        <v>89</v>
      </c>
      <c r="D54" s="4">
        <f t="shared" si="0"/>
        <v>52</v>
      </c>
      <c r="E54" s="4">
        <f t="shared" si="0"/>
        <v>86</v>
      </c>
      <c r="F54" s="4">
        <f t="shared" si="0"/>
        <v>15</v>
      </c>
    </row>
    <row r="55" spans="1:6">
      <c r="A55" s="352" t="s">
        <v>532</v>
      </c>
      <c r="B55" s="351">
        <v>45467</v>
      </c>
      <c r="C55" s="4">
        <f>SUM(C41,C27,C13)</f>
        <v>92</v>
      </c>
      <c r="D55" s="4">
        <f t="shared" si="0"/>
        <v>48</v>
      </c>
      <c r="E55" s="4">
        <f t="shared" si="0"/>
        <v>125</v>
      </c>
      <c r="F55" s="4">
        <f t="shared" si="0"/>
        <v>17</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9A3A2-B2A9-46E7-AD01-982A225FBBEA}">
  <dimension ref="A1:Y35"/>
  <sheetViews>
    <sheetView workbookViewId="0">
      <selection activeCell="A11" sqref="A11:XFD23"/>
    </sheetView>
  </sheetViews>
  <sheetFormatPr defaultRowHeight="15"/>
  <cols>
    <col min="1" max="1" width="36.42578125" style="13" bestFit="1" customWidth="1"/>
    <col min="2" max="2" width="10.28515625" style="3" customWidth="1"/>
    <col min="3" max="13" width="8.85546875" style="3" customWidth="1"/>
    <col min="14" max="14" width="8.28515625" style="3" customWidth="1"/>
    <col min="15" max="17" width="9.85546875" style="3" customWidth="1"/>
    <col min="18" max="22" width="9.140625" customWidth="1"/>
  </cols>
  <sheetData>
    <row r="1" spans="1:25">
      <c r="A1" s="375" t="s">
        <v>106</v>
      </c>
      <c r="B1" s="375"/>
      <c r="C1" s="375"/>
      <c r="D1" s="375"/>
      <c r="E1" s="375"/>
      <c r="F1" s="375"/>
      <c r="G1" s="375"/>
      <c r="H1" s="375"/>
      <c r="I1" s="375"/>
      <c r="J1" s="375"/>
      <c r="K1" s="375"/>
      <c r="L1" s="375"/>
      <c r="M1" s="375"/>
      <c r="N1" s="375"/>
      <c r="O1" s="375"/>
      <c r="P1" s="375"/>
      <c r="Q1" s="375"/>
      <c r="R1" s="375"/>
      <c r="S1" s="375"/>
      <c r="T1" s="375"/>
      <c r="U1" s="375"/>
      <c r="V1" s="375"/>
      <c r="W1" s="375"/>
      <c r="X1" s="375"/>
      <c r="Y1" s="375"/>
    </row>
    <row r="2" spans="1:25">
      <c r="A2" s="374" t="s">
        <v>15</v>
      </c>
      <c r="B2" s="375" t="s">
        <v>500</v>
      </c>
      <c r="C2" s="375"/>
      <c r="D2" s="375"/>
      <c r="E2" s="375"/>
      <c r="F2" s="375"/>
      <c r="G2" s="375"/>
      <c r="H2" s="375"/>
      <c r="I2" s="375"/>
      <c r="J2" s="375"/>
      <c r="K2" s="375"/>
      <c r="L2" s="375"/>
      <c r="M2" s="375"/>
      <c r="N2" s="375" t="s">
        <v>465</v>
      </c>
      <c r="O2" s="375"/>
      <c r="P2" s="375"/>
      <c r="Q2" s="375"/>
      <c r="R2" s="375"/>
      <c r="S2" s="375"/>
      <c r="T2" s="375"/>
      <c r="U2" s="375"/>
      <c r="V2" s="375"/>
      <c r="W2" s="375"/>
      <c r="X2" s="375"/>
      <c r="Y2" s="375"/>
    </row>
    <row r="3" spans="1:25">
      <c r="A3" s="374"/>
      <c r="B3" s="7" t="s">
        <v>64</v>
      </c>
      <c r="C3" s="7" t="s">
        <v>86</v>
      </c>
      <c r="D3" s="7" t="s">
        <v>89</v>
      </c>
      <c r="E3" s="7" t="s">
        <v>97</v>
      </c>
      <c r="F3" s="7" t="s">
        <v>125</v>
      </c>
      <c r="G3" s="7" t="s">
        <v>55</v>
      </c>
      <c r="H3" s="7" t="s">
        <v>56</v>
      </c>
      <c r="I3" s="7" t="s">
        <v>27</v>
      </c>
      <c r="J3" s="7" t="s">
        <v>33</v>
      </c>
      <c r="K3" s="7" t="s">
        <v>43</v>
      </c>
      <c r="L3" s="7" t="s">
        <v>44</v>
      </c>
      <c r="M3" s="7" t="s">
        <v>61</v>
      </c>
      <c r="N3" s="7" t="s">
        <v>64</v>
      </c>
      <c r="O3" s="7" t="s">
        <v>86</v>
      </c>
      <c r="P3" s="7" t="s">
        <v>89</v>
      </c>
      <c r="Q3" s="7" t="s">
        <v>97</v>
      </c>
      <c r="R3" s="7" t="s">
        <v>125</v>
      </c>
      <c r="S3" s="7" t="s">
        <v>55</v>
      </c>
      <c r="T3" s="7" t="s">
        <v>56</v>
      </c>
      <c r="U3" s="7" t="s">
        <v>27</v>
      </c>
      <c r="V3" s="7" t="s">
        <v>33</v>
      </c>
      <c r="W3" s="7" t="s">
        <v>43</v>
      </c>
      <c r="X3" s="7" t="s">
        <v>44</v>
      </c>
      <c r="Y3" s="7" t="s">
        <v>61</v>
      </c>
    </row>
    <row r="4" spans="1:25">
      <c r="A4" s="8" t="s">
        <v>16</v>
      </c>
      <c r="B4" s="9">
        <v>820</v>
      </c>
      <c r="C4" s="9">
        <v>695</v>
      </c>
      <c r="D4" s="9">
        <v>725</v>
      </c>
      <c r="E4" s="9">
        <v>809</v>
      </c>
      <c r="F4" s="9">
        <v>901</v>
      </c>
      <c r="G4" s="9">
        <v>808</v>
      </c>
      <c r="H4" s="9">
        <v>706</v>
      </c>
      <c r="I4" s="9">
        <v>814</v>
      </c>
      <c r="J4" s="9">
        <v>629</v>
      </c>
      <c r="K4" s="9">
        <v>863</v>
      </c>
      <c r="L4" s="9">
        <v>681</v>
      </c>
      <c r="M4" s="9">
        <v>626</v>
      </c>
      <c r="N4" s="10">
        <v>1</v>
      </c>
      <c r="O4" s="10">
        <v>1</v>
      </c>
      <c r="P4" s="10">
        <f t="shared" ref="P4:S5" si="0">1-(0/D4)</f>
        <v>1</v>
      </c>
      <c r="Q4" s="10">
        <f t="shared" si="0"/>
        <v>1</v>
      </c>
      <c r="R4" s="10">
        <f t="shared" si="0"/>
        <v>1</v>
      </c>
      <c r="S4" s="10">
        <f t="shared" si="0"/>
        <v>1</v>
      </c>
      <c r="T4" s="11">
        <f>1-(2/H4)</f>
        <v>0.99716713881019825</v>
      </c>
      <c r="U4" s="11">
        <f>1-(4/I4)</f>
        <v>0.99508599508599505</v>
      </c>
      <c r="V4" s="11">
        <v>0.99523052464228934</v>
      </c>
      <c r="W4" s="11">
        <f>1-(0/K4)</f>
        <v>1</v>
      </c>
      <c r="X4" s="11">
        <f>1-(3/L4)</f>
        <v>0.99559471365638763</v>
      </c>
      <c r="Y4" s="11">
        <f>1-(1/M4)</f>
        <v>0.99840255591054317</v>
      </c>
    </row>
    <row r="5" spans="1:25">
      <c r="A5" s="8" t="s">
        <v>26</v>
      </c>
      <c r="B5" s="9">
        <v>709</v>
      </c>
      <c r="C5" s="9">
        <v>566</v>
      </c>
      <c r="D5" s="9">
        <v>716</v>
      </c>
      <c r="E5" s="9">
        <v>554</v>
      </c>
      <c r="F5" s="9">
        <v>476</v>
      </c>
      <c r="G5" s="9">
        <v>529</v>
      </c>
      <c r="H5" s="9">
        <v>556</v>
      </c>
      <c r="I5" s="9">
        <v>819</v>
      </c>
      <c r="J5" s="27">
        <v>1139</v>
      </c>
      <c r="K5" s="27">
        <v>1899</v>
      </c>
      <c r="L5" s="27">
        <v>1281</v>
      </c>
      <c r="M5" s="27">
        <v>1374</v>
      </c>
      <c r="N5" s="10">
        <v>1</v>
      </c>
      <c r="O5" s="10">
        <v>1</v>
      </c>
      <c r="P5" s="10">
        <f t="shared" si="0"/>
        <v>1</v>
      </c>
      <c r="Q5" s="10">
        <f t="shared" si="0"/>
        <v>1</v>
      </c>
      <c r="R5" s="10">
        <f t="shared" si="0"/>
        <v>1</v>
      </c>
      <c r="S5" s="10">
        <f t="shared" si="0"/>
        <v>1</v>
      </c>
      <c r="T5" s="10">
        <f>1-(2/H5)</f>
        <v>0.99640287769784175</v>
      </c>
      <c r="U5" s="11">
        <f>1-(2/I5)</f>
        <v>0.99755799755799757</v>
      </c>
      <c r="V5" s="11">
        <v>1</v>
      </c>
      <c r="W5" s="11">
        <f>1-(0/K5)</f>
        <v>1</v>
      </c>
      <c r="X5" s="11">
        <f>1-(0/L5)</f>
        <v>1</v>
      </c>
      <c r="Y5" s="11">
        <f>1-(0/M5)</f>
        <v>1</v>
      </c>
    </row>
    <row r="6" spans="1:25">
      <c r="A6" s="8" t="s">
        <v>104</v>
      </c>
      <c r="B6" s="9" t="s">
        <v>11</v>
      </c>
      <c r="C6" s="9">
        <v>374</v>
      </c>
      <c r="D6" s="9">
        <v>448</v>
      </c>
      <c r="E6" s="9">
        <v>801</v>
      </c>
      <c r="F6" s="9">
        <v>758</v>
      </c>
      <c r="G6" s="9">
        <v>823</v>
      </c>
      <c r="H6" s="9">
        <f>581+215</f>
        <v>796</v>
      </c>
      <c r="I6" s="9">
        <v>843</v>
      </c>
      <c r="J6" s="9">
        <v>972</v>
      </c>
      <c r="K6" s="27">
        <v>998</v>
      </c>
      <c r="L6" s="27">
        <v>902</v>
      </c>
      <c r="M6" s="27">
        <v>778</v>
      </c>
      <c r="N6" s="10">
        <v>1</v>
      </c>
      <c r="O6" s="10">
        <v>1</v>
      </c>
      <c r="P6" s="10">
        <f t="shared" ref="P6:R8" si="1">1-(0/D6)</f>
        <v>1</v>
      </c>
      <c r="Q6" s="10">
        <f t="shared" si="1"/>
        <v>1</v>
      </c>
      <c r="R6" s="10">
        <f t="shared" si="1"/>
        <v>1</v>
      </c>
      <c r="S6" s="11">
        <f>1-(2/G6)</f>
        <v>0.99756986634264888</v>
      </c>
      <c r="T6" s="10">
        <f>1-(0/H6)</f>
        <v>1</v>
      </c>
      <c r="U6" s="11">
        <f>1-(0/I6)</f>
        <v>1</v>
      </c>
      <c r="V6" s="11">
        <v>0.99691358024691357</v>
      </c>
      <c r="W6" s="11">
        <f>1-(1/K6)</f>
        <v>0.99899799599198402</v>
      </c>
      <c r="X6" s="11">
        <f>1-(0/L6)</f>
        <v>1</v>
      </c>
      <c r="Y6" s="11">
        <f>1-(1/M6)</f>
        <v>0.99871465295629824</v>
      </c>
    </row>
    <row r="7" spans="1:25">
      <c r="A7" s="8" t="s">
        <v>83</v>
      </c>
      <c r="B7" s="9" t="s">
        <v>11</v>
      </c>
      <c r="C7" s="9">
        <v>166</v>
      </c>
      <c r="D7" s="9">
        <v>191</v>
      </c>
      <c r="E7" s="9">
        <v>160</v>
      </c>
      <c r="F7" s="9">
        <v>170</v>
      </c>
      <c r="G7" s="9">
        <v>187</v>
      </c>
      <c r="H7" s="9">
        <v>143</v>
      </c>
      <c r="I7" s="9">
        <v>171</v>
      </c>
      <c r="J7" s="9">
        <v>136</v>
      </c>
      <c r="K7" s="9">
        <v>154</v>
      </c>
      <c r="L7" s="9">
        <v>147</v>
      </c>
      <c r="M7" s="9">
        <v>143</v>
      </c>
      <c r="N7" s="10">
        <v>1</v>
      </c>
      <c r="O7" s="10">
        <v>1</v>
      </c>
      <c r="P7" s="10">
        <f t="shared" si="1"/>
        <v>1</v>
      </c>
      <c r="Q7" s="10">
        <f t="shared" si="1"/>
        <v>1</v>
      </c>
      <c r="R7" s="10">
        <f t="shared" si="1"/>
        <v>1</v>
      </c>
      <c r="S7" s="10">
        <f>1-(0/G7)</f>
        <v>1</v>
      </c>
      <c r="T7" s="10">
        <f>1-(0/H7)</f>
        <v>1</v>
      </c>
      <c r="U7" s="11">
        <f>1-(0/I7)</f>
        <v>1</v>
      </c>
      <c r="V7" s="11">
        <v>1</v>
      </c>
      <c r="W7" s="11">
        <f>1-(2/K7)</f>
        <v>0.98701298701298701</v>
      </c>
      <c r="X7" s="11">
        <f>1-(0/L7)</f>
        <v>1</v>
      </c>
      <c r="Y7" s="11">
        <f>1-(0/M7)</f>
        <v>1</v>
      </c>
    </row>
    <row r="8" spans="1:25">
      <c r="A8" s="8" t="s">
        <v>59</v>
      </c>
      <c r="B8" s="27">
        <v>10431</v>
      </c>
      <c r="C8" s="27">
        <v>18457</v>
      </c>
      <c r="D8" s="27">
        <v>28787</v>
      </c>
      <c r="E8" s="27">
        <v>18947</v>
      </c>
      <c r="F8" s="27">
        <v>14601</v>
      </c>
      <c r="G8" s="27">
        <v>14154</v>
      </c>
      <c r="H8" s="27">
        <v>14885</v>
      </c>
      <c r="I8" s="27">
        <v>19134</v>
      </c>
      <c r="J8" s="27">
        <v>18131</v>
      </c>
      <c r="K8" s="27">
        <v>18707</v>
      </c>
      <c r="L8" s="27">
        <v>17662</v>
      </c>
      <c r="M8" s="27">
        <v>15663</v>
      </c>
      <c r="N8" s="10">
        <v>1</v>
      </c>
      <c r="O8" s="10">
        <v>1</v>
      </c>
      <c r="P8" s="10">
        <f t="shared" si="1"/>
        <v>1</v>
      </c>
      <c r="Q8" s="10">
        <f t="shared" si="1"/>
        <v>1</v>
      </c>
      <c r="R8" s="10">
        <f t="shared" si="1"/>
        <v>1</v>
      </c>
      <c r="S8" s="11">
        <f>1-(5/G8)</f>
        <v>0.99964674297018508</v>
      </c>
      <c r="T8" s="11">
        <f>1-(40/H8)</f>
        <v>0.99731273093718509</v>
      </c>
      <c r="U8" s="11">
        <f>1-(3/I8)</f>
        <v>0.99984321103794294</v>
      </c>
      <c r="V8" s="11">
        <v>0.99994484584413434</v>
      </c>
      <c r="W8" s="11">
        <f>1-(4/K8)</f>
        <v>0.99978617629764255</v>
      </c>
      <c r="X8" s="11">
        <f>1-(1/L8)</f>
        <v>0.99994338127052429</v>
      </c>
      <c r="Y8" s="11">
        <v>1</v>
      </c>
    </row>
    <row r="9" spans="1:25">
      <c r="A9" s="8" t="s">
        <v>58</v>
      </c>
      <c r="B9" s="27">
        <v>12114</v>
      </c>
      <c r="C9" s="27">
        <v>12127</v>
      </c>
      <c r="D9" s="27">
        <v>14055</v>
      </c>
      <c r="E9" s="27">
        <v>12723</v>
      </c>
      <c r="F9" s="27">
        <v>12032</v>
      </c>
      <c r="G9" s="27">
        <v>13575</v>
      </c>
      <c r="H9" s="27">
        <v>12629</v>
      </c>
      <c r="I9" s="27">
        <v>14171</v>
      </c>
      <c r="J9" s="27">
        <v>14069</v>
      </c>
      <c r="K9" s="27">
        <v>12851</v>
      </c>
      <c r="L9" s="27">
        <v>14326</v>
      </c>
      <c r="M9" s="27">
        <v>14085</v>
      </c>
      <c r="N9" s="10">
        <v>1</v>
      </c>
      <c r="O9" s="10">
        <v>1</v>
      </c>
      <c r="P9" s="11">
        <f>1-(7/D9)</f>
        <v>0.99950195659907504</v>
      </c>
      <c r="Q9" s="11">
        <f>1-(4/E9)</f>
        <v>0.99968560874007706</v>
      </c>
      <c r="R9" s="11">
        <f>1-(5/F9)</f>
        <v>0.99958444148936165</v>
      </c>
      <c r="S9" s="11">
        <f>1-(15/G9)</f>
        <v>0.99889502762430937</v>
      </c>
      <c r="T9" s="11">
        <f>1-(8/H9)</f>
        <v>0.99936653733470582</v>
      </c>
      <c r="U9" s="11">
        <f>1-(11/I9)</f>
        <v>0.99922376684778769</v>
      </c>
      <c r="V9" s="11">
        <v>0.99943137394271098</v>
      </c>
      <c r="W9" s="11">
        <f>1-(10/K9)</f>
        <v>0.9992218504396545</v>
      </c>
      <c r="X9" s="11">
        <f>1-(6/L9)</f>
        <v>0.99958118106938432</v>
      </c>
      <c r="Y9" s="11">
        <f>1-(8/M9)</f>
        <v>0.99943201987930419</v>
      </c>
    </row>
    <row r="10" spans="1:25">
      <c r="A10" s="8" t="s">
        <v>103</v>
      </c>
      <c r="B10" s="9" t="s">
        <v>11</v>
      </c>
      <c r="C10" s="9" t="s">
        <v>11</v>
      </c>
      <c r="D10" s="9" t="s">
        <v>11</v>
      </c>
      <c r="E10" s="9" t="s">
        <v>11</v>
      </c>
      <c r="F10" s="9">
        <v>394</v>
      </c>
      <c r="G10" s="9">
        <v>437</v>
      </c>
      <c r="H10" s="9">
        <v>490</v>
      </c>
      <c r="I10" s="9">
        <v>497</v>
      </c>
      <c r="J10" s="9">
        <v>444</v>
      </c>
      <c r="K10" s="9">
        <v>661</v>
      </c>
      <c r="L10" s="9">
        <v>745</v>
      </c>
      <c r="M10" s="9">
        <v>721</v>
      </c>
      <c r="N10" s="10" t="s">
        <v>11</v>
      </c>
      <c r="O10" s="10" t="s">
        <v>11</v>
      </c>
      <c r="P10" s="10" t="s">
        <v>11</v>
      </c>
      <c r="Q10" s="10" t="s">
        <v>11</v>
      </c>
      <c r="R10" s="10">
        <f>1-(0/F10)</f>
        <v>1</v>
      </c>
      <c r="S10" s="11">
        <f>1-(14/G10)</f>
        <v>0.96796338672768878</v>
      </c>
      <c r="T10" s="11">
        <f>1-(5/H10)</f>
        <v>0.98979591836734693</v>
      </c>
      <c r="U10" s="11">
        <f>1-(18/I10)</f>
        <v>0.96378269617706236</v>
      </c>
      <c r="V10" s="11">
        <v>0.98873873873873874</v>
      </c>
      <c r="W10" s="11">
        <f>1-(9/K10)</f>
        <v>0.9863842662632375</v>
      </c>
      <c r="X10" s="11">
        <f>1-(6/L10)</f>
        <v>0.99194630872483225</v>
      </c>
      <c r="Y10" s="11">
        <f>1-(1/M10)</f>
        <v>0.9986130374479889</v>
      </c>
    </row>
    <row r="11" spans="1:25">
      <c r="A11" s="376" t="s">
        <v>82</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378"/>
    </row>
    <row r="12" spans="1:25">
      <c r="A12" s="374" t="s">
        <v>15</v>
      </c>
      <c r="B12" s="375" t="s">
        <v>500</v>
      </c>
      <c r="C12" s="375"/>
      <c r="D12" s="375"/>
      <c r="E12" s="375"/>
      <c r="F12" s="375"/>
      <c r="G12" s="375"/>
      <c r="H12" s="375"/>
      <c r="I12" s="375"/>
      <c r="J12" s="375"/>
      <c r="K12" s="375"/>
      <c r="L12" s="375"/>
      <c r="M12" s="375"/>
      <c r="N12" s="376" t="s">
        <v>465</v>
      </c>
      <c r="O12" s="377"/>
      <c r="P12" s="377"/>
      <c r="Q12" s="377"/>
      <c r="R12" s="377"/>
      <c r="S12" s="377"/>
      <c r="T12" s="377"/>
      <c r="U12" s="377"/>
      <c r="V12" s="377"/>
      <c r="W12" s="377"/>
      <c r="X12" s="377"/>
      <c r="Y12" s="378"/>
    </row>
    <row r="13" spans="1:25">
      <c r="A13" s="374"/>
      <c r="B13" s="7" t="s">
        <v>64</v>
      </c>
      <c r="C13" s="7" t="s">
        <v>86</v>
      </c>
      <c r="D13" s="7" t="s">
        <v>89</v>
      </c>
      <c r="E13" s="7" t="s">
        <v>97</v>
      </c>
      <c r="F13" s="7" t="s">
        <v>125</v>
      </c>
      <c r="G13" s="7" t="s">
        <v>55</v>
      </c>
      <c r="H13" s="7" t="s">
        <v>56</v>
      </c>
      <c r="I13" s="7" t="s">
        <v>27</v>
      </c>
      <c r="J13" s="7" t="s">
        <v>33</v>
      </c>
      <c r="K13" s="7" t="s">
        <v>43</v>
      </c>
      <c r="L13" s="7" t="s">
        <v>44</v>
      </c>
      <c r="M13" s="7" t="s">
        <v>61</v>
      </c>
      <c r="N13" s="7" t="s">
        <v>64</v>
      </c>
      <c r="O13" s="7" t="s">
        <v>86</v>
      </c>
      <c r="P13" s="7" t="s">
        <v>89</v>
      </c>
      <c r="Q13" s="7" t="s">
        <v>97</v>
      </c>
      <c r="R13" s="7" t="s">
        <v>125</v>
      </c>
      <c r="S13" s="7" t="s">
        <v>55</v>
      </c>
      <c r="T13" s="7" t="s">
        <v>56</v>
      </c>
      <c r="U13" s="7" t="s">
        <v>27</v>
      </c>
      <c r="V13" s="7" t="s">
        <v>33</v>
      </c>
      <c r="W13" s="7" t="s">
        <v>43</v>
      </c>
      <c r="X13" s="7" t="s">
        <v>44</v>
      </c>
      <c r="Y13" s="7" t="s">
        <v>61</v>
      </c>
    </row>
    <row r="14" spans="1:25" ht="15" customHeight="1">
      <c r="A14" s="8" t="s">
        <v>17</v>
      </c>
      <c r="B14" s="9">
        <v>577</v>
      </c>
      <c r="C14" s="9">
        <v>659</v>
      </c>
      <c r="D14" s="9">
        <v>656</v>
      </c>
      <c r="E14" s="9">
        <v>613</v>
      </c>
      <c r="F14" s="9">
        <v>623</v>
      </c>
      <c r="G14" s="9">
        <v>707</v>
      </c>
      <c r="H14" s="9">
        <v>661</v>
      </c>
      <c r="I14" s="9">
        <v>701</v>
      </c>
      <c r="J14" s="9">
        <v>683</v>
      </c>
      <c r="K14" s="9">
        <v>590</v>
      </c>
      <c r="L14" s="9">
        <v>578</v>
      </c>
      <c r="M14" s="27">
        <v>588</v>
      </c>
      <c r="N14" s="10">
        <v>1</v>
      </c>
      <c r="O14" s="10">
        <v>1</v>
      </c>
      <c r="P14" s="11">
        <f>1-(2/D14)</f>
        <v>0.99695121951219512</v>
      </c>
      <c r="Q14" s="11">
        <f>1-(2/E14)</f>
        <v>0.99673735725938006</v>
      </c>
      <c r="R14" s="11">
        <f>1-(2/F14)</f>
        <v>0.9967897271268058</v>
      </c>
      <c r="S14" s="11">
        <f>1-(9/G14)</f>
        <v>0.98727015558698727</v>
      </c>
      <c r="T14" s="11">
        <f>1-(9/H14)</f>
        <v>0.9863842662632375</v>
      </c>
      <c r="U14" s="11">
        <f>1-(12/I14)</f>
        <v>0.98288159771754635</v>
      </c>
      <c r="V14" s="11">
        <f>1-(9/J14)</f>
        <v>0.98682284040995605</v>
      </c>
      <c r="W14" s="11">
        <f>1-(6/K14)</f>
        <v>0.98983050847457632</v>
      </c>
      <c r="X14" s="11">
        <f>1-(4/L14)</f>
        <v>0.99307958477508651</v>
      </c>
      <c r="Y14" s="11">
        <f>1-(7/M14)</f>
        <v>0.98809523809523814</v>
      </c>
    </row>
    <row r="15" spans="1:25">
      <c r="A15" s="8" t="s">
        <v>18</v>
      </c>
      <c r="B15" s="9">
        <v>926</v>
      </c>
      <c r="C15" s="9">
        <v>920</v>
      </c>
      <c r="D15" s="9">
        <v>987</v>
      </c>
      <c r="E15" s="9">
        <v>945</v>
      </c>
      <c r="F15" s="9">
        <v>980</v>
      </c>
      <c r="G15" s="9">
        <v>913</v>
      </c>
      <c r="H15" s="27">
        <v>1374</v>
      </c>
      <c r="I15" s="27">
        <v>1047</v>
      </c>
      <c r="J15" s="27">
        <v>1009</v>
      </c>
      <c r="K15" s="27">
        <v>1142</v>
      </c>
      <c r="L15" s="27">
        <v>820</v>
      </c>
      <c r="M15" s="27">
        <v>993</v>
      </c>
      <c r="N15" s="10">
        <v>1</v>
      </c>
      <c r="O15" s="10">
        <v>1</v>
      </c>
      <c r="P15" s="10">
        <f t="shared" ref="P15:U15" si="2">1-(0/D15)</f>
        <v>1</v>
      </c>
      <c r="Q15" s="10">
        <f t="shared" si="2"/>
        <v>1</v>
      </c>
      <c r="R15" s="10">
        <f t="shared" si="2"/>
        <v>1</v>
      </c>
      <c r="S15" s="10">
        <f t="shared" si="2"/>
        <v>1</v>
      </c>
      <c r="T15" s="10">
        <f t="shared" si="2"/>
        <v>1</v>
      </c>
      <c r="U15" s="11">
        <f t="shared" si="2"/>
        <v>1</v>
      </c>
      <c r="V15" s="11">
        <v>1</v>
      </c>
      <c r="W15" s="11">
        <f t="shared" ref="W15:Y18" si="3">1-(0/K15)</f>
        <v>1</v>
      </c>
      <c r="X15" s="11">
        <f t="shared" si="3"/>
        <v>1</v>
      </c>
      <c r="Y15" s="11">
        <f t="shared" si="3"/>
        <v>1</v>
      </c>
    </row>
    <row r="16" spans="1:25">
      <c r="A16" s="8" t="s">
        <v>19</v>
      </c>
      <c r="B16" s="27">
        <v>1820</v>
      </c>
      <c r="C16" s="27">
        <v>1975</v>
      </c>
      <c r="D16" s="27">
        <v>2322</v>
      </c>
      <c r="E16" s="27">
        <v>2123</v>
      </c>
      <c r="F16" s="27">
        <v>2547</v>
      </c>
      <c r="G16" s="27">
        <v>2473</v>
      </c>
      <c r="H16" s="27">
        <v>2137</v>
      </c>
      <c r="I16" s="27">
        <v>2308</v>
      </c>
      <c r="J16" s="27">
        <v>2066</v>
      </c>
      <c r="K16" s="27">
        <v>2065</v>
      </c>
      <c r="L16" s="27">
        <v>1817</v>
      </c>
      <c r="M16" s="27">
        <v>1621</v>
      </c>
      <c r="N16" s="10">
        <v>1</v>
      </c>
      <c r="O16" s="10">
        <v>1</v>
      </c>
      <c r="P16" s="10">
        <f t="shared" ref="P16:T17" si="4">1-(0/D16)</f>
        <v>1</v>
      </c>
      <c r="Q16" s="10">
        <f t="shared" si="4"/>
        <v>1</v>
      </c>
      <c r="R16" s="10">
        <f t="shared" si="4"/>
        <v>1</v>
      </c>
      <c r="S16" s="10">
        <f t="shared" si="4"/>
        <v>1</v>
      </c>
      <c r="T16" s="10">
        <f t="shared" si="4"/>
        <v>1</v>
      </c>
      <c r="U16" s="11">
        <f>1-(13/I16)</f>
        <v>0.99436741767764303</v>
      </c>
      <c r="V16" s="11">
        <v>1</v>
      </c>
      <c r="W16" s="11">
        <f t="shared" si="3"/>
        <v>1</v>
      </c>
      <c r="X16" s="11">
        <f t="shared" si="3"/>
        <v>1</v>
      </c>
      <c r="Y16" s="11">
        <f t="shared" si="3"/>
        <v>1</v>
      </c>
    </row>
    <row r="17" spans="1:25">
      <c r="A17" s="8" t="s">
        <v>24</v>
      </c>
      <c r="B17" s="27">
        <v>3431</v>
      </c>
      <c r="C17" s="27">
        <v>3486</v>
      </c>
      <c r="D17" s="27">
        <v>4120</v>
      </c>
      <c r="E17" s="27">
        <v>3326</v>
      </c>
      <c r="F17" s="27">
        <v>3865</v>
      </c>
      <c r="G17" s="27">
        <v>4047</v>
      </c>
      <c r="H17" s="27">
        <v>4055</v>
      </c>
      <c r="I17" s="27">
        <v>3985</v>
      </c>
      <c r="J17" s="27">
        <v>3530</v>
      </c>
      <c r="K17" s="27">
        <v>3272</v>
      </c>
      <c r="L17" s="27">
        <v>3105</v>
      </c>
      <c r="M17" s="27">
        <v>3134</v>
      </c>
      <c r="N17" s="10">
        <v>1</v>
      </c>
      <c r="O17" s="10">
        <v>1</v>
      </c>
      <c r="P17" s="10">
        <f t="shared" si="4"/>
        <v>1</v>
      </c>
      <c r="Q17" s="10">
        <f t="shared" si="4"/>
        <v>1</v>
      </c>
      <c r="R17" s="10">
        <f t="shared" si="4"/>
        <v>1</v>
      </c>
      <c r="S17" s="10">
        <f t="shared" si="4"/>
        <v>1</v>
      </c>
      <c r="T17" s="10">
        <f t="shared" si="4"/>
        <v>1</v>
      </c>
      <c r="U17" s="11">
        <f>1-(1/I17)</f>
        <v>0.99974905897114175</v>
      </c>
      <c r="V17" s="11">
        <v>1</v>
      </c>
      <c r="W17" s="11">
        <f t="shared" si="3"/>
        <v>1</v>
      </c>
      <c r="X17" s="11">
        <f t="shared" si="3"/>
        <v>1</v>
      </c>
      <c r="Y17" s="11">
        <f t="shared" si="3"/>
        <v>1</v>
      </c>
    </row>
    <row r="18" spans="1:25">
      <c r="A18" s="8" t="s">
        <v>84</v>
      </c>
      <c r="B18" s="9" t="s">
        <v>11</v>
      </c>
      <c r="C18" s="9">
        <v>477</v>
      </c>
      <c r="D18" s="27">
        <v>2403</v>
      </c>
      <c r="E18" s="27">
        <v>1925</v>
      </c>
      <c r="F18" s="27">
        <v>2985</v>
      </c>
      <c r="G18" s="27">
        <v>3067</v>
      </c>
      <c r="H18" s="27">
        <v>3749</v>
      </c>
      <c r="I18" s="27">
        <v>3957</v>
      </c>
      <c r="J18" s="27">
        <v>3721</v>
      </c>
      <c r="K18" s="27">
        <v>3380</v>
      </c>
      <c r="L18" s="27">
        <v>3368</v>
      </c>
      <c r="M18" s="27">
        <v>3324</v>
      </c>
      <c r="N18" s="10" t="s">
        <v>11</v>
      </c>
      <c r="O18" s="10">
        <v>1</v>
      </c>
      <c r="P18" s="10">
        <f t="shared" ref="P18:R22" si="5">1-(0/D18)</f>
        <v>1</v>
      </c>
      <c r="Q18" s="10">
        <f t="shared" si="5"/>
        <v>1</v>
      </c>
      <c r="R18" s="10">
        <f t="shared" si="5"/>
        <v>1</v>
      </c>
      <c r="S18" s="11">
        <f>1-(1/G18)</f>
        <v>0.99967394848386049</v>
      </c>
      <c r="T18" s="10">
        <f t="shared" ref="T18:U23" si="6">1-(0/H18)</f>
        <v>1</v>
      </c>
      <c r="U18" s="11">
        <f t="shared" si="6"/>
        <v>1</v>
      </c>
      <c r="V18" s="11">
        <v>1</v>
      </c>
      <c r="W18" s="11">
        <f t="shared" si="3"/>
        <v>1</v>
      </c>
      <c r="X18" s="11">
        <f t="shared" si="3"/>
        <v>1</v>
      </c>
      <c r="Y18" s="11">
        <f t="shared" si="3"/>
        <v>1</v>
      </c>
    </row>
    <row r="19" spans="1:25">
      <c r="A19" s="8" t="s">
        <v>74</v>
      </c>
      <c r="B19" s="9">
        <f>653+179</f>
        <v>832</v>
      </c>
      <c r="C19" s="9">
        <f>355+640</f>
        <v>995</v>
      </c>
      <c r="D19" s="27">
        <v>1654</v>
      </c>
      <c r="E19" s="27">
        <v>1215</v>
      </c>
      <c r="F19" s="27">
        <v>1380</v>
      </c>
      <c r="G19" s="27">
        <v>1264</v>
      </c>
      <c r="H19" s="27">
        <v>1132</v>
      </c>
      <c r="I19" s="27">
        <v>1116</v>
      </c>
      <c r="J19" s="27">
        <v>1056</v>
      </c>
      <c r="K19" s="27">
        <v>974</v>
      </c>
      <c r="L19" s="27">
        <v>787</v>
      </c>
      <c r="M19" s="27">
        <v>793</v>
      </c>
      <c r="N19" s="10">
        <v>1</v>
      </c>
      <c r="O19" s="10">
        <v>1</v>
      </c>
      <c r="P19" s="10">
        <f t="shared" si="5"/>
        <v>1</v>
      </c>
      <c r="Q19" s="10">
        <f t="shared" si="5"/>
        <v>1</v>
      </c>
      <c r="R19" s="10">
        <f t="shared" si="5"/>
        <v>1</v>
      </c>
      <c r="S19" s="10">
        <f>1-(0/G19)</f>
        <v>1</v>
      </c>
      <c r="T19" s="10">
        <f t="shared" si="6"/>
        <v>1</v>
      </c>
      <c r="U19" s="11">
        <f t="shared" si="6"/>
        <v>1</v>
      </c>
      <c r="V19" s="11">
        <v>1</v>
      </c>
      <c r="W19" s="11">
        <f>1-(0/K19)</f>
        <v>1</v>
      </c>
      <c r="X19" s="11">
        <f t="shared" ref="X19:Y23" si="7">1-(0/L19)</f>
        <v>1</v>
      </c>
      <c r="Y19" s="11">
        <f t="shared" si="7"/>
        <v>1</v>
      </c>
    </row>
    <row r="20" spans="1:25">
      <c r="A20" s="8" t="s">
        <v>472</v>
      </c>
      <c r="B20" s="9"/>
      <c r="C20" s="9"/>
      <c r="D20" s="27"/>
      <c r="E20" s="27"/>
      <c r="F20" s="27" t="s">
        <v>11</v>
      </c>
      <c r="G20" s="27" t="s">
        <v>11</v>
      </c>
      <c r="H20" s="27" t="s">
        <v>11</v>
      </c>
      <c r="I20" s="27" t="s">
        <v>11</v>
      </c>
      <c r="J20" s="27" t="s">
        <v>11</v>
      </c>
      <c r="K20" s="27" t="s">
        <v>11</v>
      </c>
      <c r="L20" s="27">
        <v>5134</v>
      </c>
      <c r="M20" s="27">
        <v>4615</v>
      </c>
      <c r="N20" s="10" t="s">
        <v>11</v>
      </c>
      <c r="O20" s="10" t="s">
        <v>11</v>
      </c>
      <c r="P20" s="10" t="s">
        <v>11</v>
      </c>
      <c r="Q20" s="10" t="s">
        <v>11</v>
      </c>
      <c r="R20" s="10" t="s">
        <v>11</v>
      </c>
      <c r="S20" s="10" t="s">
        <v>11</v>
      </c>
      <c r="T20" s="10" t="s">
        <v>11</v>
      </c>
      <c r="U20" s="11" t="s">
        <v>11</v>
      </c>
      <c r="V20" s="11" t="s">
        <v>11</v>
      </c>
      <c r="W20" s="11" t="s">
        <v>11</v>
      </c>
      <c r="X20" s="11">
        <f t="shared" si="7"/>
        <v>1</v>
      </c>
      <c r="Y20" s="11">
        <f t="shared" si="7"/>
        <v>1</v>
      </c>
    </row>
    <row r="21" spans="1:25">
      <c r="A21" s="8" t="s">
        <v>85</v>
      </c>
      <c r="B21" s="27">
        <v>5710</v>
      </c>
      <c r="C21" s="27">
        <v>5481</v>
      </c>
      <c r="D21" s="27">
        <v>6045</v>
      </c>
      <c r="E21" s="27">
        <v>5320</v>
      </c>
      <c r="F21" s="27">
        <v>5357</v>
      </c>
      <c r="G21" s="27">
        <v>4178</v>
      </c>
      <c r="H21" s="27">
        <v>6663</v>
      </c>
      <c r="I21" s="27">
        <v>6321</v>
      </c>
      <c r="J21" s="27">
        <v>6246</v>
      </c>
      <c r="K21" s="27">
        <v>7052</v>
      </c>
      <c r="L21" s="27">
        <v>6219</v>
      </c>
      <c r="M21" s="27">
        <v>6451</v>
      </c>
      <c r="N21" s="10">
        <v>1</v>
      </c>
      <c r="O21" s="10">
        <v>1</v>
      </c>
      <c r="P21" s="10">
        <f t="shared" si="5"/>
        <v>1</v>
      </c>
      <c r="Q21" s="10">
        <f t="shared" si="5"/>
        <v>1</v>
      </c>
      <c r="R21" s="10">
        <f t="shared" si="5"/>
        <v>1</v>
      </c>
      <c r="S21" s="10">
        <f>1-(0/G21)</f>
        <v>1</v>
      </c>
      <c r="T21" s="10">
        <f t="shared" si="6"/>
        <v>1</v>
      </c>
      <c r="U21" s="11">
        <f t="shared" si="6"/>
        <v>1</v>
      </c>
      <c r="V21" s="11">
        <v>1</v>
      </c>
      <c r="W21" s="11">
        <f>1-(0/K21)</f>
        <v>1</v>
      </c>
      <c r="X21" s="11">
        <f t="shared" si="7"/>
        <v>1</v>
      </c>
      <c r="Y21" s="11">
        <f t="shared" si="7"/>
        <v>1</v>
      </c>
    </row>
    <row r="22" spans="1:25">
      <c r="A22" s="8" t="s">
        <v>336</v>
      </c>
      <c r="B22" s="27">
        <v>3455</v>
      </c>
      <c r="C22" s="27">
        <v>4616</v>
      </c>
      <c r="D22" s="27">
        <v>5484</v>
      </c>
      <c r="E22" s="27">
        <v>3788</v>
      </c>
      <c r="F22" s="27">
        <v>4418</v>
      </c>
      <c r="G22" s="27">
        <v>4475</v>
      </c>
      <c r="H22" s="27">
        <v>5788</v>
      </c>
      <c r="I22" s="27">
        <v>4122</v>
      </c>
      <c r="J22" s="27">
        <v>4823</v>
      </c>
      <c r="K22" s="27">
        <v>4650</v>
      </c>
      <c r="L22" s="27">
        <v>3639</v>
      </c>
      <c r="M22" s="27">
        <v>3035</v>
      </c>
      <c r="N22" s="10">
        <v>1</v>
      </c>
      <c r="O22" s="10">
        <v>1</v>
      </c>
      <c r="P22" s="10">
        <f t="shared" si="5"/>
        <v>1</v>
      </c>
      <c r="Q22" s="10">
        <f t="shared" si="5"/>
        <v>1</v>
      </c>
      <c r="R22" s="10">
        <f t="shared" si="5"/>
        <v>1</v>
      </c>
      <c r="S22" s="10">
        <f>1-(0/G22)</f>
        <v>1</v>
      </c>
      <c r="T22" s="10">
        <f t="shared" si="6"/>
        <v>1</v>
      </c>
      <c r="U22" s="11">
        <f t="shared" si="6"/>
        <v>1</v>
      </c>
      <c r="V22" s="11">
        <v>1</v>
      </c>
      <c r="W22" s="11">
        <f>1-(0/K22)</f>
        <v>1</v>
      </c>
      <c r="X22" s="11">
        <f t="shared" si="7"/>
        <v>1</v>
      </c>
      <c r="Y22" s="11">
        <f t="shared" si="7"/>
        <v>1</v>
      </c>
    </row>
    <row r="23" spans="1:25">
      <c r="A23" s="8" t="s">
        <v>105</v>
      </c>
      <c r="B23" s="9" t="s">
        <v>11</v>
      </c>
      <c r="C23" s="9" t="s">
        <v>11</v>
      </c>
      <c r="D23" s="9" t="s">
        <v>11</v>
      </c>
      <c r="E23" s="9" t="s">
        <v>11</v>
      </c>
      <c r="F23" s="27">
        <v>2655</v>
      </c>
      <c r="G23" s="27">
        <v>4024</v>
      </c>
      <c r="H23" s="27">
        <v>3707</v>
      </c>
      <c r="I23" s="27">
        <v>4239</v>
      </c>
      <c r="J23" s="27">
        <v>3643</v>
      </c>
      <c r="K23" s="27">
        <v>3901</v>
      </c>
      <c r="L23" s="27">
        <v>3689</v>
      </c>
      <c r="M23" s="27">
        <v>3317</v>
      </c>
      <c r="N23" s="10" t="s">
        <v>11</v>
      </c>
      <c r="O23" s="10" t="s">
        <v>11</v>
      </c>
      <c r="P23" s="10" t="s">
        <v>11</v>
      </c>
      <c r="Q23" s="10" t="s">
        <v>11</v>
      </c>
      <c r="R23" s="10">
        <f>1-(0/F23)</f>
        <v>1</v>
      </c>
      <c r="S23" s="10">
        <f>1-(0/G23)</f>
        <v>1</v>
      </c>
      <c r="T23" s="10">
        <f t="shared" si="6"/>
        <v>1</v>
      </c>
      <c r="U23" s="11">
        <f t="shared" si="6"/>
        <v>1</v>
      </c>
      <c r="V23" s="11">
        <v>1</v>
      </c>
      <c r="W23" s="11">
        <f>1-(0/K23)</f>
        <v>1</v>
      </c>
      <c r="X23" s="11">
        <f t="shared" si="7"/>
        <v>1</v>
      </c>
      <c r="Y23" s="11">
        <f t="shared" si="7"/>
        <v>1</v>
      </c>
    </row>
    <row r="24" spans="1:25">
      <c r="A24" s="376" t="s">
        <v>81</v>
      </c>
      <c r="B24" s="377"/>
      <c r="C24" s="377"/>
      <c r="D24" s="377"/>
      <c r="E24" s="377"/>
      <c r="F24" s="377"/>
      <c r="G24" s="377"/>
      <c r="H24" s="377"/>
      <c r="I24" s="377"/>
      <c r="J24" s="377"/>
      <c r="K24" s="377"/>
      <c r="L24" s="377"/>
      <c r="M24" s="377"/>
      <c r="N24" s="377"/>
      <c r="O24" s="377"/>
      <c r="P24" s="377"/>
      <c r="Q24" s="377"/>
      <c r="R24" s="377"/>
      <c r="S24" s="377"/>
      <c r="T24" s="377"/>
      <c r="U24" s="377"/>
      <c r="V24" s="377"/>
      <c r="W24" s="377"/>
      <c r="X24" s="377"/>
      <c r="Y24" s="378"/>
    </row>
    <row r="25" spans="1:25">
      <c r="A25" s="374" t="s">
        <v>15</v>
      </c>
      <c r="B25" s="375" t="s">
        <v>500</v>
      </c>
      <c r="C25" s="375"/>
      <c r="D25" s="375"/>
      <c r="E25" s="375"/>
      <c r="F25" s="375"/>
      <c r="G25" s="375"/>
      <c r="H25" s="375"/>
      <c r="I25" s="375"/>
      <c r="J25" s="375"/>
      <c r="K25" s="375"/>
      <c r="L25" s="375"/>
      <c r="M25" s="375"/>
      <c r="N25" s="376" t="s">
        <v>465</v>
      </c>
      <c r="O25" s="377"/>
      <c r="P25" s="377"/>
      <c r="Q25" s="377"/>
      <c r="R25" s="377"/>
      <c r="S25" s="377"/>
      <c r="T25" s="377"/>
      <c r="U25" s="377"/>
      <c r="V25" s="377"/>
      <c r="W25" s="377"/>
      <c r="X25" s="377"/>
      <c r="Y25" s="378"/>
    </row>
    <row r="26" spans="1:25">
      <c r="A26" s="374"/>
      <c r="B26" s="7" t="s">
        <v>64</v>
      </c>
      <c r="C26" s="7" t="s">
        <v>86</v>
      </c>
      <c r="D26" s="7" t="s">
        <v>89</v>
      </c>
      <c r="E26" s="7" t="s">
        <v>97</v>
      </c>
      <c r="F26" s="7" t="s">
        <v>125</v>
      </c>
      <c r="G26" s="7" t="s">
        <v>91</v>
      </c>
      <c r="H26" s="7" t="s">
        <v>92</v>
      </c>
      <c r="I26" s="7" t="s">
        <v>27</v>
      </c>
      <c r="J26" s="7" t="s">
        <v>33</v>
      </c>
      <c r="K26" s="7" t="s">
        <v>43</v>
      </c>
      <c r="L26" s="7" t="s">
        <v>44</v>
      </c>
      <c r="M26" s="7" t="s">
        <v>61</v>
      </c>
      <c r="N26" s="7" t="s">
        <v>64</v>
      </c>
      <c r="O26" s="7" t="s">
        <v>86</v>
      </c>
      <c r="P26" s="7" t="s">
        <v>89</v>
      </c>
      <c r="Q26" s="7" t="s">
        <v>97</v>
      </c>
      <c r="R26" s="7" t="s">
        <v>125</v>
      </c>
      <c r="S26" s="7" t="s">
        <v>91</v>
      </c>
      <c r="T26" s="7" t="s">
        <v>92</v>
      </c>
      <c r="U26" s="7" t="s">
        <v>27</v>
      </c>
      <c r="V26" s="7" t="s">
        <v>33</v>
      </c>
      <c r="W26" s="7" t="s">
        <v>43</v>
      </c>
      <c r="X26" s="7" t="s">
        <v>44</v>
      </c>
      <c r="Y26" s="7" t="s">
        <v>61</v>
      </c>
    </row>
    <row r="27" spans="1:25">
      <c r="A27" s="8" t="s">
        <v>62</v>
      </c>
      <c r="B27" s="9">
        <v>967</v>
      </c>
      <c r="C27" s="9">
        <v>854</v>
      </c>
      <c r="D27" s="27">
        <v>1318</v>
      </c>
      <c r="E27" s="9">
        <v>985</v>
      </c>
      <c r="F27" s="27">
        <v>1319</v>
      </c>
      <c r="G27" s="27">
        <v>1372</v>
      </c>
      <c r="H27" s="27">
        <v>1174</v>
      </c>
      <c r="I27" s="27">
        <v>1415</v>
      </c>
      <c r="J27" s="27">
        <v>1418</v>
      </c>
      <c r="K27" s="27">
        <v>1372</v>
      </c>
      <c r="L27" s="27">
        <v>999</v>
      </c>
      <c r="M27" s="27">
        <v>883</v>
      </c>
      <c r="N27" s="11">
        <v>1</v>
      </c>
      <c r="O27" s="10">
        <v>1</v>
      </c>
      <c r="P27" s="10">
        <f t="shared" ref="P27:U27" si="8">1-(0/D27)</f>
        <v>1</v>
      </c>
      <c r="Q27" s="10">
        <f t="shared" si="8"/>
        <v>1</v>
      </c>
      <c r="R27" s="10">
        <f t="shared" si="8"/>
        <v>1</v>
      </c>
      <c r="S27" s="10">
        <f t="shared" si="8"/>
        <v>1</v>
      </c>
      <c r="T27" s="10">
        <f t="shared" si="8"/>
        <v>1</v>
      </c>
      <c r="U27" s="11">
        <f t="shared" si="8"/>
        <v>1</v>
      </c>
      <c r="V27" s="11">
        <v>1</v>
      </c>
      <c r="W27" s="11">
        <f>1-(0/K28)</f>
        <v>1</v>
      </c>
      <c r="X27" s="11">
        <f>1-(0/L28)</f>
        <v>1</v>
      </c>
      <c r="Y27" s="11">
        <f>1-(0/M28)</f>
        <v>1</v>
      </c>
    </row>
    <row r="28" spans="1:25" ht="15" customHeight="1">
      <c r="A28" s="8" t="s">
        <v>37</v>
      </c>
      <c r="B28" s="9">
        <v>249</v>
      </c>
      <c r="C28" s="9">
        <v>209</v>
      </c>
      <c r="D28" s="9">
        <v>356</v>
      </c>
      <c r="E28" s="9">
        <v>283</v>
      </c>
      <c r="F28" s="9">
        <v>320</v>
      </c>
      <c r="G28" s="9">
        <v>264</v>
      </c>
      <c r="H28" s="9">
        <v>338</v>
      </c>
      <c r="I28" s="9">
        <v>372</v>
      </c>
      <c r="J28" s="9">
        <v>296</v>
      </c>
      <c r="K28" s="27">
        <v>407</v>
      </c>
      <c r="L28" s="27">
        <v>430</v>
      </c>
      <c r="M28" s="27">
        <v>396</v>
      </c>
      <c r="N28" s="11">
        <v>0.9839</v>
      </c>
      <c r="O28" s="10">
        <v>1</v>
      </c>
      <c r="P28" s="11">
        <f>1-(5/D28)</f>
        <v>0.9859550561797753</v>
      </c>
      <c r="Q28" s="10">
        <f t="shared" ref="Q28:U34" si="9">1-(0/E28)</f>
        <v>1</v>
      </c>
      <c r="R28" s="10">
        <f t="shared" si="9"/>
        <v>1</v>
      </c>
      <c r="S28" s="10">
        <f t="shared" si="9"/>
        <v>1</v>
      </c>
      <c r="T28" s="10">
        <f t="shared" si="9"/>
        <v>1</v>
      </c>
      <c r="U28" s="11">
        <f t="shared" si="9"/>
        <v>1</v>
      </c>
      <c r="V28" s="11">
        <v>1</v>
      </c>
      <c r="W28" s="11">
        <f t="shared" ref="W28:W34" si="10">1-(0/K29)</f>
        <v>1</v>
      </c>
      <c r="X28" s="11">
        <f t="shared" ref="X28:Y34" si="11">1-(0/L29)</f>
        <v>1</v>
      </c>
      <c r="Y28" s="11">
        <f t="shared" si="11"/>
        <v>1</v>
      </c>
    </row>
    <row r="29" spans="1:25">
      <c r="A29" s="8" t="s">
        <v>21</v>
      </c>
      <c r="B29" s="9">
        <v>316</v>
      </c>
      <c r="C29" s="9">
        <v>435</v>
      </c>
      <c r="D29" s="9">
        <v>474</v>
      </c>
      <c r="E29" s="9">
        <v>485</v>
      </c>
      <c r="F29" s="9">
        <v>494</v>
      </c>
      <c r="G29" s="9">
        <v>465</v>
      </c>
      <c r="H29" s="9">
        <v>456</v>
      </c>
      <c r="I29" s="9">
        <v>578</v>
      </c>
      <c r="J29" s="9">
        <v>501</v>
      </c>
      <c r="K29" s="9">
        <v>633</v>
      </c>
      <c r="L29" s="9">
        <v>593</v>
      </c>
      <c r="M29" s="9">
        <v>645</v>
      </c>
      <c r="N29" s="11">
        <v>0.99050000000000005</v>
      </c>
      <c r="O29" s="10">
        <v>1</v>
      </c>
      <c r="P29" s="11">
        <f>1-(3/D29)</f>
        <v>0.99367088607594933</v>
      </c>
      <c r="Q29" s="10">
        <f t="shared" si="9"/>
        <v>1</v>
      </c>
      <c r="R29" s="10">
        <f t="shared" si="9"/>
        <v>1</v>
      </c>
      <c r="S29" s="10">
        <f t="shared" si="9"/>
        <v>1</v>
      </c>
      <c r="T29" s="10">
        <f t="shared" si="9"/>
        <v>1</v>
      </c>
      <c r="U29" s="11">
        <f t="shared" si="9"/>
        <v>1</v>
      </c>
      <c r="V29" s="11">
        <v>0.99800399201596801</v>
      </c>
      <c r="W29" s="11">
        <f t="shared" si="10"/>
        <v>1</v>
      </c>
      <c r="X29" s="11">
        <f t="shared" si="11"/>
        <v>1</v>
      </c>
      <c r="Y29" s="11">
        <f t="shared" si="11"/>
        <v>1</v>
      </c>
    </row>
    <row r="30" spans="1:25">
      <c r="A30" s="8" t="s">
        <v>32</v>
      </c>
      <c r="B30" s="27">
        <v>1399</v>
      </c>
      <c r="C30" s="27">
        <v>1269</v>
      </c>
      <c r="D30" s="27">
        <v>2121</v>
      </c>
      <c r="E30" s="27">
        <v>1119</v>
      </c>
      <c r="F30" s="27">
        <v>1203</v>
      </c>
      <c r="G30" s="27">
        <v>1171</v>
      </c>
      <c r="H30" s="27">
        <v>1154</v>
      </c>
      <c r="I30" s="27">
        <v>1407</v>
      </c>
      <c r="J30" s="9">
        <v>995</v>
      </c>
      <c r="K30" s="9">
        <v>1172</v>
      </c>
      <c r="L30" s="9">
        <v>966</v>
      </c>
      <c r="M30" s="9">
        <v>917</v>
      </c>
      <c r="N30" s="11">
        <v>1</v>
      </c>
      <c r="O30" s="10">
        <v>1</v>
      </c>
      <c r="P30" s="10">
        <f>1-(0/D30)</f>
        <v>1</v>
      </c>
      <c r="Q30" s="10">
        <f t="shared" si="9"/>
        <v>1</v>
      </c>
      <c r="R30" s="10">
        <f t="shared" si="9"/>
        <v>1</v>
      </c>
      <c r="S30" s="10">
        <f t="shared" si="9"/>
        <v>1</v>
      </c>
      <c r="T30" s="10">
        <f t="shared" si="9"/>
        <v>1</v>
      </c>
      <c r="U30" s="11">
        <f t="shared" si="9"/>
        <v>1</v>
      </c>
      <c r="V30" s="11">
        <v>1</v>
      </c>
      <c r="W30" s="11">
        <f t="shared" si="10"/>
        <v>1</v>
      </c>
      <c r="X30" s="11">
        <f t="shared" si="11"/>
        <v>1</v>
      </c>
      <c r="Y30" s="11">
        <f t="shared" si="11"/>
        <v>1</v>
      </c>
    </row>
    <row r="31" spans="1:25">
      <c r="A31" s="8" t="s">
        <v>38</v>
      </c>
      <c r="B31" s="9">
        <v>88</v>
      </c>
      <c r="C31" s="9">
        <v>111</v>
      </c>
      <c r="D31" s="9">
        <v>216</v>
      </c>
      <c r="E31" s="9">
        <v>165</v>
      </c>
      <c r="F31" s="9">
        <v>176</v>
      </c>
      <c r="G31" s="9">
        <v>145</v>
      </c>
      <c r="H31" s="9">
        <v>109</v>
      </c>
      <c r="I31" s="9">
        <v>133</v>
      </c>
      <c r="J31" s="9">
        <v>102</v>
      </c>
      <c r="K31" s="9">
        <v>94</v>
      </c>
      <c r="L31" s="9">
        <v>81</v>
      </c>
      <c r="M31" s="9">
        <v>82</v>
      </c>
      <c r="N31" s="11">
        <v>1</v>
      </c>
      <c r="O31" s="10">
        <v>1</v>
      </c>
      <c r="P31" s="11">
        <f>1-(1/D31)</f>
        <v>0.99537037037037035</v>
      </c>
      <c r="Q31" s="10">
        <f t="shared" si="9"/>
        <v>1</v>
      </c>
      <c r="R31" s="10">
        <f t="shared" si="9"/>
        <v>1</v>
      </c>
      <c r="S31" s="10">
        <f t="shared" si="9"/>
        <v>1</v>
      </c>
      <c r="T31" s="10">
        <f t="shared" si="9"/>
        <v>1</v>
      </c>
      <c r="U31" s="11">
        <f t="shared" si="9"/>
        <v>1</v>
      </c>
      <c r="V31" s="11">
        <v>0.99019607843137258</v>
      </c>
      <c r="W31" s="11">
        <f t="shared" si="10"/>
        <v>1</v>
      </c>
      <c r="X31" s="11">
        <f t="shared" si="11"/>
        <v>1</v>
      </c>
      <c r="Y31" s="11">
        <f t="shared" si="11"/>
        <v>1</v>
      </c>
    </row>
    <row r="32" spans="1:25">
      <c r="A32" s="8" t="s">
        <v>30</v>
      </c>
      <c r="B32" s="9">
        <v>100</v>
      </c>
      <c r="C32" s="9">
        <v>104</v>
      </c>
      <c r="D32" s="9">
        <v>175</v>
      </c>
      <c r="E32" s="9">
        <v>117</v>
      </c>
      <c r="F32" s="9">
        <v>140</v>
      </c>
      <c r="G32" s="9">
        <v>134</v>
      </c>
      <c r="H32" s="9">
        <v>102</v>
      </c>
      <c r="I32" s="9">
        <v>120</v>
      </c>
      <c r="J32" s="9">
        <v>106</v>
      </c>
      <c r="K32" s="9">
        <v>162</v>
      </c>
      <c r="L32" s="9">
        <v>111</v>
      </c>
      <c r="M32" s="9">
        <v>97</v>
      </c>
      <c r="N32" s="11">
        <v>0.99</v>
      </c>
      <c r="O32" s="10">
        <v>1</v>
      </c>
      <c r="P32" s="11">
        <f>1-(1/D32)</f>
        <v>0.99428571428571433</v>
      </c>
      <c r="Q32" s="10">
        <f t="shared" si="9"/>
        <v>1</v>
      </c>
      <c r="R32" s="10">
        <f t="shared" si="9"/>
        <v>1</v>
      </c>
      <c r="S32" s="10">
        <f t="shared" si="9"/>
        <v>1</v>
      </c>
      <c r="T32" s="10">
        <f t="shared" si="9"/>
        <v>1</v>
      </c>
      <c r="U32" s="11">
        <f t="shared" si="9"/>
        <v>1</v>
      </c>
      <c r="V32" s="11">
        <v>0.99056603773584906</v>
      </c>
      <c r="W32" s="11">
        <f t="shared" si="10"/>
        <v>1</v>
      </c>
      <c r="X32" s="11">
        <f t="shared" si="11"/>
        <v>1</v>
      </c>
      <c r="Y32" s="11">
        <f t="shared" si="11"/>
        <v>1</v>
      </c>
    </row>
    <row r="33" spans="1:25">
      <c r="A33" s="8" t="s">
        <v>31</v>
      </c>
      <c r="B33" s="9">
        <v>91</v>
      </c>
      <c r="C33" s="9">
        <v>118</v>
      </c>
      <c r="D33" s="9">
        <v>148</v>
      </c>
      <c r="E33" s="9">
        <v>111</v>
      </c>
      <c r="F33" s="9">
        <v>95</v>
      </c>
      <c r="G33" s="9">
        <v>133</v>
      </c>
      <c r="H33" s="9">
        <v>87</v>
      </c>
      <c r="I33" s="9">
        <v>66</v>
      </c>
      <c r="J33" s="9">
        <v>87</v>
      </c>
      <c r="K33" s="9">
        <v>153</v>
      </c>
      <c r="L33" s="9">
        <v>110</v>
      </c>
      <c r="M33" s="9">
        <v>112</v>
      </c>
      <c r="N33" s="11">
        <v>1</v>
      </c>
      <c r="O33" s="10">
        <v>1</v>
      </c>
      <c r="P33" s="11">
        <f>1-(2/D33)</f>
        <v>0.98648648648648651</v>
      </c>
      <c r="Q33" s="10">
        <f t="shared" si="9"/>
        <v>1</v>
      </c>
      <c r="R33" s="10">
        <f t="shared" si="9"/>
        <v>1</v>
      </c>
      <c r="S33" s="10">
        <f t="shared" si="9"/>
        <v>1</v>
      </c>
      <c r="T33" s="10">
        <f t="shared" si="9"/>
        <v>1</v>
      </c>
      <c r="U33" s="11">
        <f t="shared" si="9"/>
        <v>1</v>
      </c>
      <c r="V33" s="11">
        <v>0.9885057471264368</v>
      </c>
      <c r="W33" s="11">
        <f t="shared" si="10"/>
        <v>1</v>
      </c>
      <c r="X33" s="11">
        <f t="shared" si="11"/>
        <v>1</v>
      </c>
      <c r="Y33" s="11">
        <f t="shared" si="11"/>
        <v>1</v>
      </c>
    </row>
    <row r="34" spans="1:25">
      <c r="A34" s="8" t="s">
        <v>60</v>
      </c>
      <c r="B34" s="9">
        <v>40</v>
      </c>
      <c r="C34" s="9">
        <v>119</v>
      </c>
      <c r="D34" s="9">
        <v>87</v>
      </c>
      <c r="E34" s="9">
        <v>61</v>
      </c>
      <c r="F34" s="9">
        <v>85</v>
      </c>
      <c r="G34" s="9">
        <v>107</v>
      </c>
      <c r="H34" s="9">
        <v>83</v>
      </c>
      <c r="I34" s="9">
        <v>87</v>
      </c>
      <c r="J34" s="9">
        <v>86</v>
      </c>
      <c r="K34" s="9">
        <v>74</v>
      </c>
      <c r="L34" s="9">
        <v>62</v>
      </c>
      <c r="M34" s="9">
        <v>60</v>
      </c>
      <c r="N34" s="11">
        <v>1</v>
      </c>
      <c r="O34" s="10">
        <v>1</v>
      </c>
      <c r="P34" s="10">
        <f>1-(0/D34)</f>
        <v>1</v>
      </c>
      <c r="Q34" s="10">
        <f t="shared" si="9"/>
        <v>1</v>
      </c>
      <c r="R34" s="10">
        <f t="shared" si="9"/>
        <v>1</v>
      </c>
      <c r="S34" s="10">
        <f t="shared" si="9"/>
        <v>1</v>
      </c>
      <c r="T34" s="10">
        <f t="shared" si="9"/>
        <v>1</v>
      </c>
      <c r="U34" s="11">
        <f t="shared" si="9"/>
        <v>1</v>
      </c>
      <c r="V34" s="11">
        <v>1</v>
      </c>
      <c r="W34" s="11">
        <f t="shared" si="10"/>
        <v>1</v>
      </c>
      <c r="X34" s="11">
        <f t="shared" si="11"/>
        <v>1</v>
      </c>
      <c r="Y34" s="11">
        <f t="shared" si="11"/>
        <v>1</v>
      </c>
    </row>
    <row r="35" spans="1:25">
      <c r="A35" s="19" t="s">
        <v>88</v>
      </c>
      <c r="B35" s="54">
        <f t="shared" ref="B35:I35" si="12">SUM(B28:B34)</f>
        <v>2283</v>
      </c>
      <c r="C35" s="54">
        <f t="shared" si="12"/>
        <v>2365</v>
      </c>
      <c r="D35" s="54">
        <f t="shared" si="12"/>
        <v>3577</v>
      </c>
      <c r="E35" s="54">
        <f t="shared" si="12"/>
        <v>2341</v>
      </c>
      <c r="F35" s="54">
        <f t="shared" si="12"/>
        <v>2513</v>
      </c>
      <c r="G35" s="54">
        <f t="shared" si="12"/>
        <v>2419</v>
      </c>
      <c r="H35" s="54">
        <f t="shared" si="12"/>
        <v>2329</v>
      </c>
      <c r="I35" s="54">
        <f t="shared" si="12"/>
        <v>2763</v>
      </c>
      <c r="J35" s="54">
        <f>SUM(J28:J34)</f>
        <v>2173</v>
      </c>
      <c r="K35" s="54">
        <f>SUM(K28:K34)</f>
        <v>2695</v>
      </c>
      <c r="L35" s="54">
        <f>SUM(L28:L34)</f>
        <v>2353</v>
      </c>
      <c r="M35" s="54">
        <f>SUM(M28:M34)</f>
        <v>2309</v>
      </c>
      <c r="N35" s="9"/>
      <c r="O35" s="9"/>
      <c r="P35" s="9"/>
      <c r="Q35" s="9"/>
      <c r="R35" s="9"/>
      <c r="S35" s="9"/>
      <c r="T35" s="9"/>
      <c r="U35" s="9"/>
      <c r="V35" s="9"/>
      <c r="W35" s="9"/>
      <c r="X35" s="9"/>
      <c r="Y35" s="1"/>
    </row>
  </sheetData>
  <mergeCells count="12">
    <mergeCell ref="A25:A26"/>
    <mergeCell ref="A12:A13"/>
    <mergeCell ref="B12:M12"/>
    <mergeCell ref="B25:M25"/>
    <mergeCell ref="N12:Y12"/>
    <mergeCell ref="A24:Y24"/>
    <mergeCell ref="N25:Y25"/>
    <mergeCell ref="A2:A3"/>
    <mergeCell ref="B2:M2"/>
    <mergeCell ref="N2:Y2"/>
    <mergeCell ref="A1:Y1"/>
    <mergeCell ref="A11:Y1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128D-49F9-48A7-AD9A-BD4F6FE2D658}">
  <dimension ref="A2:D49"/>
  <sheetViews>
    <sheetView workbookViewId="0">
      <selection activeCell="N64" sqref="N64"/>
    </sheetView>
  </sheetViews>
  <sheetFormatPr defaultRowHeight="15"/>
  <cols>
    <col min="1" max="1" width="36.42578125" bestFit="1" customWidth="1"/>
  </cols>
  <sheetData>
    <row r="2" spans="1:4">
      <c r="A2" s="8" t="s">
        <v>26</v>
      </c>
      <c r="B2" s="9">
        <v>556</v>
      </c>
      <c r="C2" s="9">
        <v>819</v>
      </c>
      <c r="D2" s="27">
        <v>1139</v>
      </c>
    </row>
    <row r="3" spans="1:4">
      <c r="A3" s="8" t="s">
        <v>104</v>
      </c>
      <c r="B3" s="9">
        <f>581+215</f>
        <v>796</v>
      </c>
      <c r="C3" s="9">
        <v>843</v>
      </c>
      <c r="D3" s="9">
        <v>972</v>
      </c>
    </row>
    <row r="4" spans="1:4">
      <c r="A4" s="8" t="s">
        <v>83</v>
      </c>
      <c r="B4" s="9">
        <v>143</v>
      </c>
      <c r="C4" s="9">
        <v>171</v>
      </c>
      <c r="D4" s="9">
        <v>136</v>
      </c>
    </row>
    <row r="5" spans="1:4">
      <c r="A5" s="8" t="s">
        <v>9</v>
      </c>
      <c r="B5" s="75">
        <f>SUM(B2:B4)</f>
        <v>1495</v>
      </c>
      <c r="C5" s="75">
        <f>SUM(C2:C4)</f>
        <v>1833</v>
      </c>
      <c r="D5" s="75">
        <f>SUM(D2:D4)</f>
        <v>2247</v>
      </c>
    </row>
    <row r="8" spans="1:4">
      <c r="A8" s="74" t="s">
        <v>15</v>
      </c>
      <c r="B8" s="7" t="s">
        <v>43</v>
      </c>
      <c r="C8" s="7" t="s">
        <v>44</v>
      </c>
      <c r="D8" s="7" t="s">
        <v>61</v>
      </c>
    </row>
    <row r="9" spans="1:4">
      <c r="A9" s="8" t="s">
        <v>26</v>
      </c>
      <c r="B9" s="11" t="e">
        <f>1-(0/#REF!)</f>
        <v>#REF!</v>
      </c>
      <c r="C9" s="11" t="e">
        <f>1-(0/#REF!)</f>
        <v>#REF!</v>
      </c>
      <c r="D9" s="11" t="e">
        <f>1-(0/#REF!)</f>
        <v>#REF!</v>
      </c>
    </row>
    <row r="10" spans="1:4">
      <c r="A10" s="8" t="s">
        <v>104</v>
      </c>
      <c r="B10" s="11" t="e">
        <f>1-(1/#REF!)</f>
        <v>#REF!</v>
      </c>
      <c r="C10" s="11" t="e">
        <f>1-(0/#REF!)</f>
        <v>#REF!</v>
      </c>
      <c r="D10" s="11" t="e">
        <f>1-(1/#REF!)</f>
        <v>#REF!</v>
      </c>
    </row>
    <row r="11" spans="1:4">
      <c r="A11" s="8" t="s">
        <v>83</v>
      </c>
      <c r="B11" s="11" t="e">
        <f>1-(2/#REF!)</f>
        <v>#REF!</v>
      </c>
      <c r="C11" s="11" t="e">
        <f>1-(0/#REF!)</f>
        <v>#REF!</v>
      </c>
      <c r="D11" s="11" t="e">
        <f>1-(0/#REF!)</f>
        <v>#REF!</v>
      </c>
    </row>
    <row r="12" spans="1:4">
      <c r="A12" s="8" t="s">
        <v>59</v>
      </c>
      <c r="B12" s="11" t="e">
        <f>1-(4/#REF!)</f>
        <v>#REF!</v>
      </c>
      <c r="C12" s="11" t="e">
        <f>1-(1/#REF!)</f>
        <v>#REF!</v>
      </c>
      <c r="D12" s="11">
        <v>1</v>
      </c>
    </row>
    <row r="33" spans="1:4">
      <c r="A33" s="77" t="s">
        <v>15</v>
      </c>
      <c r="B33" s="78" t="s">
        <v>630</v>
      </c>
      <c r="C33" s="7" t="s">
        <v>635</v>
      </c>
      <c r="D33" s="7" t="s">
        <v>735</v>
      </c>
    </row>
    <row r="34" spans="1:4">
      <c r="A34" s="79" t="s">
        <v>17</v>
      </c>
      <c r="B34" s="9">
        <v>609</v>
      </c>
      <c r="C34" s="9">
        <v>659</v>
      </c>
      <c r="D34" s="9">
        <v>622</v>
      </c>
    </row>
    <row r="35" spans="1:4">
      <c r="A35" s="79" t="s">
        <v>18</v>
      </c>
      <c r="B35" s="9">
        <v>780</v>
      </c>
      <c r="C35" s="9">
        <v>962</v>
      </c>
      <c r="D35" s="9">
        <v>885</v>
      </c>
    </row>
    <row r="36" spans="1:4">
      <c r="A36" s="79" t="s">
        <v>19</v>
      </c>
      <c r="B36" s="27">
        <v>1761</v>
      </c>
      <c r="C36" s="27">
        <v>2072</v>
      </c>
      <c r="D36" s="27">
        <v>2375</v>
      </c>
    </row>
    <row r="37" spans="1:4">
      <c r="A37" s="79" t="s">
        <v>24</v>
      </c>
      <c r="B37" s="27">
        <v>3923</v>
      </c>
      <c r="C37" s="27">
        <v>4114</v>
      </c>
      <c r="D37" s="27">
        <v>3745</v>
      </c>
    </row>
    <row r="38" spans="1:4">
      <c r="A38" s="79" t="s">
        <v>84</v>
      </c>
      <c r="B38" s="27">
        <v>3748</v>
      </c>
      <c r="C38" s="27">
        <v>3837</v>
      </c>
      <c r="D38" s="27">
        <v>3266</v>
      </c>
    </row>
    <row r="39" spans="1:4">
      <c r="A39" s="79" t="s">
        <v>472</v>
      </c>
      <c r="B39" s="27">
        <v>5111</v>
      </c>
      <c r="C39" s="27">
        <v>5582</v>
      </c>
      <c r="D39" s="27">
        <v>7124</v>
      </c>
    </row>
    <row r="40" spans="1:4">
      <c r="A40" s="79" t="s">
        <v>85</v>
      </c>
      <c r="B40" s="27">
        <v>7451</v>
      </c>
      <c r="C40" s="27">
        <v>7477</v>
      </c>
      <c r="D40" s="27">
        <v>7343</v>
      </c>
    </row>
    <row r="42" spans="1:4">
      <c r="A42" s="74" t="s">
        <v>15</v>
      </c>
      <c r="B42" s="76" t="s">
        <v>43</v>
      </c>
      <c r="C42" s="76" t="s">
        <v>44</v>
      </c>
      <c r="D42" s="76" t="s">
        <v>61</v>
      </c>
    </row>
    <row r="43" spans="1:4">
      <c r="A43" s="8" t="s">
        <v>17</v>
      </c>
      <c r="B43" s="76">
        <v>1</v>
      </c>
      <c r="C43" s="76">
        <v>1</v>
      </c>
      <c r="D43" s="76">
        <v>1</v>
      </c>
    </row>
    <row r="44" spans="1:4">
      <c r="A44" s="8" t="s">
        <v>18</v>
      </c>
      <c r="B44" s="76">
        <v>1</v>
      </c>
      <c r="C44" s="76">
        <v>1</v>
      </c>
      <c r="D44" s="76">
        <v>1</v>
      </c>
    </row>
    <row r="45" spans="1:4">
      <c r="A45" s="8" t="s">
        <v>19</v>
      </c>
      <c r="B45" s="76">
        <v>1</v>
      </c>
      <c r="C45" s="76">
        <v>1</v>
      </c>
      <c r="D45" s="76">
        <v>1</v>
      </c>
    </row>
    <row r="46" spans="1:4">
      <c r="A46" s="8" t="s">
        <v>24</v>
      </c>
      <c r="B46" s="76">
        <v>1</v>
      </c>
      <c r="C46" s="76">
        <v>1</v>
      </c>
      <c r="D46" s="76">
        <v>1</v>
      </c>
    </row>
    <row r="47" spans="1:4">
      <c r="A47" s="8" t="s">
        <v>84</v>
      </c>
      <c r="B47" s="76">
        <v>1</v>
      </c>
      <c r="C47" s="76">
        <v>1</v>
      </c>
      <c r="D47" s="76">
        <v>1</v>
      </c>
    </row>
    <row r="48" spans="1:4">
      <c r="A48" s="8" t="s">
        <v>472</v>
      </c>
      <c r="B48" s="76" t="s">
        <v>11</v>
      </c>
      <c r="C48" s="76">
        <v>1</v>
      </c>
      <c r="D48" s="76">
        <v>1</v>
      </c>
    </row>
    <row r="49" spans="1:4">
      <c r="A49" s="8" t="s">
        <v>85</v>
      </c>
      <c r="B49" s="76">
        <v>1</v>
      </c>
      <c r="C49" s="76">
        <v>1</v>
      </c>
      <c r="D49" s="76">
        <v>1</v>
      </c>
    </row>
  </sheetData>
  <sortState xmlns:xlrd2="http://schemas.microsoft.com/office/spreadsheetml/2017/richdata2" ref="A34:D40">
    <sortCondition ref="D34:D40"/>
  </sortState>
  <pageMargins left="0.7" right="0.7" top="0.75" bottom="0.75" header="0.3" footer="0.3"/>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9121D-1F0E-4911-94C2-444AEC5CC9A9}">
  <sheetPr>
    <tabColor rgb="FF00B050"/>
  </sheetPr>
  <dimension ref="A1:AG71"/>
  <sheetViews>
    <sheetView showGridLines="0" tabSelected="1" zoomScale="90" zoomScaleNormal="90" workbookViewId="0">
      <pane xSplit="2" topLeftCell="C1" activePane="topRight" state="frozen"/>
      <selection activeCell="B1" sqref="B1"/>
      <selection pane="topRight" activeCell="C12" sqref="C12"/>
    </sheetView>
  </sheetViews>
  <sheetFormatPr defaultRowHeight="15"/>
  <cols>
    <col min="1" max="1" width="48.7109375" bestFit="1" customWidth="1"/>
    <col min="2" max="2" width="5.85546875" bestFit="1" customWidth="1"/>
    <col min="3" max="6" width="10.7109375" bestFit="1" customWidth="1"/>
    <col min="7" max="11" width="10.7109375" customWidth="1"/>
    <col min="12" max="31" width="11.85546875" bestFit="1" customWidth="1"/>
    <col min="32" max="32" width="11.85546875" customWidth="1"/>
    <col min="33" max="33" width="11.85546875" bestFit="1" customWidth="1"/>
    <col min="34" max="35" width="9.140625" customWidth="1"/>
  </cols>
  <sheetData>
    <row r="1" spans="1:33" s="39" customFormat="1" ht="21">
      <c r="A1" s="404" t="s">
        <v>879</v>
      </c>
      <c r="B1" s="404"/>
      <c r="C1" s="404"/>
      <c r="D1" s="404"/>
      <c r="E1" s="404"/>
      <c r="F1" s="404"/>
      <c r="G1" s="404"/>
      <c r="H1" s="404"/>
      <c r="I1" s="404"/>
      <c r="J1" s="404"/>
      <c r="K1" s="404"/>
      <c r="L1" s="404"/>
      <c r="M1" s="404"/>
      <c r="N1" s="404"/>
      <c r="O1" s="404"/>
      <c r="P1" s="404"/>
      <c r="Q1" s="404"/>
      <c r="R1" s="404"/>
      <c r="S1" s="404"/>
      <c r="T1" s="404"/>
      <c r="U1" s="404"/>
      <c r="V1" s="404"/>
      <c r="W1" s="404"/>
      <c r="X1" s="404"/>
      <c r="Y1" s="404"/>
      <c r="Z1" s="404"/>
      <c r="AA1" s="404"/>
      <c r="AB1" s="404"/>
      <c r="AC1" s="404"/>
      <c r="AD1" s="404"/>
      <c r="AE1" s="404"/>
      <c r="AF1" s="404"/>
      <c r="AG1" s="404"/>
    </row>
    <row r="3" spans="1:33" ht="18.75">
      <c r="A3" s="405" t="s">
        <v>548</v>
      </c>
      <c r="B3" s="405"/>
      <c r="C3" s="405"/>
      <c r="D3" s="405"/>
      <c r="E3" s="405"/>
      <c r="F3" s="405"/>
      <c r="G3" s="405"/>
      <c r="H3" s="405"/>
      <c r="I3" s="405"/>
      <c r="J3" s="405"/>
      <c r="K3" s="405"/>
      <c r="L3" s="405"/>
      <c r="M3" s="405"/>
      <c r="N3" s="405"/>
      <c r="O3" s="405"/>
      <c r="P3" s="405"/>
      <c r="Q3" s="405"/>
      <c r="R3" s="405"/>
      <c r="S3" s="405"/>
      <c r="T3" s="405"/>
      <c r="U3" s="405"/>
      <c r="V3" s="405"/>
      <c r="W3" s="405"/>
      <c r="X3" s="405"/>
      <c r="Y3" s="405"/>
      <c r="Z3" s="405"/>
      <c r="AA3" s="405"/>
      <c r="AB3" s="405"/>
      <c r="AC3" s="405"/>
      <c r="AD3" s="405"/>
      <c r="AE3" s="405"/>
      <c r="AF3" s="405"/>
      <c r="AG3" s="405"/>
    </row>
    <row r="4" spans="1:33" ht="15.75">
      <c r="A4" s="403" t="s">
        <v>35</v>
      </c>
      <c r="B4" s="403"/>
      <c r="C4" s="403"/>
      <c r="D4" s="403"/>
      <c r="E4" s="403"/>
      <c r="F4" s="403"/>
      <c r="G4" s="403"/>
      <c r="H4" s="403"/>
      <c r="I4" s="403"/>
      <c r="J4" s="403"/>
      <c r="K4" s="403"/>
      <c r="L4" s="403"/>
      <c r="M4" s="403"/>
      <c r="N4" s="403"/>
      <c r="O4" s="403"/>
      <c r="P4" s="403"/>
      <c r="Q4" s="403"/>
      <c r="R4" s="403"/>
      <c r="S4" s="403"/>
      <c r="T4" s="403"/>
      <c r="U4" s="403"/>
      <c r="V4" s="403"/>
      <c r="W4" s="403"/>
      <c r="X4" s="403"/>
      <c r="Y4" s="403"/>
      <c r="Z4" s="403"/>
      <c r="AA4" s="403"/>
      <c r="AB4" s="403"/>
      <c r="AC4" s="403"/>
      <c r="AD4" s="403"/>
      <c r="AE4" s="403"/>
      <c r="AF4" s="403"/>
      <c r="AG4" s="403"/>
    </row>
    <row r="5" spans="1:33" s="255" customFormat="1">
      <c r="A5" s="114" t="s">
        <v>143</v>
      </c>
      <c r="B5" s="151" t="s">
        <v>13</v>
      </c>
      <c r="C5" s="113">
        <v>45444</v>
      </c>
      <c r="D5" s="113">
        <f>C5+1</f>
        <v>45445</v>
      </c>
      <c r="E5" s="113">
        <f t="shared" ref="E5:AG5" si="0">D5+1</f>
        <v>45446</v>
      </c>
      <c r="F5" s="113">
        <f t="shared" si="0"/>
        <v>45447</v>
      </c>
      <c r="G5" s="113">
        <f t="shared" si="0"/>
        <v>45448</v>
      </c>
      <c r="H5" s="113">
        <f t="shared" si="0"/>
        <v>45449</v>
      </c>
      <c r="I5" s="113">
        <f t="shared" si="0"/>
        <v>45450</v>
      </c>
      <c r="J5" s="113">
        <f t="shared" si="0"/>
        <v>45451</v>
      </c>
      <c r="K5" s="113">
        <f t="shared" si="0"/>
        <v>45452</v>
      </c>
      <c r="L5" s="113">
        <f t="shared" si="0"/>
        <v>45453</v>
      </c>
      <c r="M5" s="113">
        <f t="shared" si="0"/>
        <v>45454</v>
      </c>
      <c r="N5" s="113">
        <f t="shared" si="0"/>
        <v>45455</v>
      </c>
      <c r="O5" s="113">
        <f t="shared" si="0"/>
        <v>45456</v>
      </c>
      <c r="P5" s="113">
        <f t="shared" si="0"/>
        <v>45457</v>
      </c>
      <c r="Q5" s="113">
        <f t="shared" si="0"/>
        <v>45458</v>
      </c>
      <c r="R5" s="113">
        <f t="shared" si="0"/>
        <v>45459</v>
      </c>
      <c r="S5" s="113">
        <f t="shared" si="0"/>
        <v>45460</v>
      </c>
      <c r="T5" s="113">
        <f t="shared" si="0"/>
        <v>45461</v>
      </c>
      <c r="U5" s="113">
        <f t="shared" si="0"/>
        <v>45462</v>
      </c>
      <c r="V5" s="113">
        <f t="shared" si="0"/>
        <v>45463</v>
      </c>
      <c r="W5" s="113">
        <f t="shared" si="0"/>
        <v>45464</v>
      </c>
      <c r="X5" s="113">
        <f t="shared" si="0"/>
        <v>45465</v>
      </c>
      <c r="Y5" s="113">
        <f t="shared" si="0"/>
        <v>45466</v>
      </c>
      <c r="Z5" s="113">
        <f t="shared" si="0"/>
        <v>45467</v>
      </c>
      <c r="AA5" s="113">
        <f t="shared" si="0"/>
        <v>45468</v>
      </c>
      <c r="AB5" s="113">
        <f t="shared" si="0"/>
        <v>45469</v>
      </c>
      <c r="AC5" s="113">
        <f t="shared" si="0"/>
        <v>45470</v>
      </c>
      <c r="AD5" s="113">
        <f t="shared" si="0"/>
        <v>45471</v>
      </c>
      <c r="AE5" s="113">
        <f t="shared" si="0"/>
        <v>45472</v>
      </c>
      <c r="AF5" s="113">
        <f t="shared" si="0"/>
        <v>45473</v>
      </c>
      <c r="AG5" s="113">
        <f t="shared" si="0"/>
        <v>45474</v>
      </c>
    </row>
    <row r="6" spans="1:33" s="255" customFormat="1">
      <c r="A6" s="12" t="s">
        <v>177</v>
      </c>
      <c r="B6" s="22">
        <f t="shared" ref="B6:B7" si="1">SUM(C6:AG6)</f>
        <v>804</v>
      </c>
      <c r="C6" s="22">
        <f>SUM(C30,C52)</f>
        <v>0</v>
      </c>
      <c r="D6" s="22">
        <f t="shared" ref="D6:AF7" si="2">SUM(D30,D52)</f>
        <v>0</v>
      </c>
      <c r="E6" s="22">
        <f t="shared" si="2"/>
        <v>102</v>
      </c>
      <c r="F6" s="22">
        <f t="shared" si="2"/>
        <v>48</v>
      </c>
      <c r="G6" s="22">
        <v>24</v>
      </c>
      <c r="H6" s="22">
        <v>36</v>
      </c>
      <c r="I6" s="22">
        <v>42</v>
      </c>
      <c r="J6" s="22">
        <f t="shared" si="2"/>
        <v>0</v>
      </c>
      <c r="K6" s="22">
        <f t="shared" si="2"/>
        <v>0</v>
      </c>
      <c r="L6" s="22">
        <v>54</v>
      </c>
      <c r="M6" s="22">
        <v>31</v>
      </c>
      <c r="N6" s="22">
        <v>38</v>
      </c>
      <c r="O6" s="22">
        <v>24</v>
      </c>
      <c r="P6" s="22">
        <v>54</v>
      </c>
      <c r="Q6" s="22">
        <f t="shared" si="2"/>
        <v>0</v>
      </c>
      <c r="R6" s="22">
        <f t="shared" si="2"/>
        <v>0</v>
      </c>
      <c r="S6" s="22">
        <f t="shared" si="2"/>
        <v>42</v>
      </c>
      <c r="T6" s="22">
        <v>44</v>
      </c>
      <c r="U6" s="22">
        <v>16</v>
      </c>
      <c r="V6" s="22">
        <v>22</v>
      </c>
      <c r="W6" s="22">
        <v>22</v>
      </c>
      <c r="X6" s="22">
        <f t="shared" si="2"/>
        <v>0</v>
      </c>
      <c r="Y6" s="22">
        <f t="shared" si="2"/>
        <v>0</v>
      </c>
      <c r="Z6" s="22">
        <f t="shared" si="2"/>
        <v>70</v>
      </c>
      <c r="AA6" s="22">
        <f t="shared" si="2"/>
        <v>46</v>
      </c>
      <c r="AB6" s="22">
        <v>22</v>
      </c>
      <c r="AC6" s="22">
        <f t="shared" si="2"/>
        <v>43</v>
      </c>
      <c r="AD6" s="22">
        <f t="shared" si="2"/>
        <v>24</v>
      </c>
      <c r="AE6" s="22">
        <f t="shared" si="2"/>
        <v>0</v>
      </c>
      <c r="AF6" s="22">
        <f t="shared" si="2"/>
        <v>0</v>
      </c>
      <c r="AG6" s="22">
        <f>SUM(AG30,AG52)</f>
        <v>0</v>
      </c>
    </row>
    <row r="7" spans="1:33" s="255" customFormat="1">
      <c r="A7" s="12" t="s">
        <v>178</v>
      </c>
      <c r="B7" s="22">
        <f t="shared" si="1"/>
        <v>38</v>
      </c>
      <c r="C7" s="22">
        <f>SUM(C31,C53)</f>
        <v>0</v>
      </c>
      <c r="D7" s="22">
        <f t="shared" si="2"/>
        <v>0</v>
      </c>
      <c r="E7" s="22">
        <f t="shared" si="2"/>
        <v>5</v>
      </c>
      <c r="F7" s="22">
        <f t="shared" si="2"/>
        <v>1</v>
      </c>
      <c r="G7" s="22">
        <v>3</v>
      </c>
      <c r="H7" s="22">
        <v>0</v>
      </c>
      <c r="I7" s="22">
        <v>2</v>
      </c>
      <c r="J7" s="22">
        <f t="shared" si="2"/>
        <v>0</v>
      </c>
      <c r="K7" s="22">
        <f t="shared" si="2"/>
        <v>0</v>
      </c>
      <c r="L7" s="22">
        <v>3</v>
      </c>
      <c r="M7" s="22">
        <f t="shared" si="2"/>
        <v>0</v>
      </c>
      <c r="N7" s="22">
        <v>2</v>
      </c>
      <c r="O7" s="22">
        <v>2</v>
      </c>
      <c r="P7" s="22">
        <v>1</v>
      </c>
      <c r="Q7" s="22">
        <f t="shared" si="2"/>
        <v>0</v>
      </c>
      <c r="R7" s="22">
        <f t="shared" si="2"/>
        <v>0</v>
      </c>
      <c r="S7" s="22">
        <f t="shared" si="2"/>
        <v>4</v>
      </c>
      <c r="T7" s="22">
        <v>1</v>
      </c>
      <c r="U7" s="22">
        <f t="shared" si="2"/>
        <v>0</v>
      </c>
      <c r="V7" s="22">
        <f t="shared" si="2"/>
        <v>0</v>
      </c>
      <c r="W7" s="22">
        <f t="shared" si="2"/>
        <v>0</v>
      </c>
      <c r="X7" s="22">
        <f t="shared" si="2"/>
        <v>0</v>
      </c>
      <c r="Y7" s="22">
        <f t="shared" si="2"/>
        <v>0</v>
      </c>
      <c r="Z7" s="22">
        <f t="shared" si="2"/>
        <v>3</v>
      </c>
      <c r="AA7" s="22">
        <f t="shared" si="2"/>
        <v>3</v>
      </c>
      <c r="AB7" s="22">
        <v>4</v>
      </c>
      <c r="AC7" s="22">
        <f t="shared" si="2"/>
        <v>2</v>
      </c>
      <c r="AD7" s="22">
        <f t="shared" si="2"/>
        <v>2</v>
      </c>
      <c r="AE7" s="22">
        <f t="shared" si="2"/>
        <v>0</v>
      </c>
      <c r="AF7" s="22">
        <f t="shared" si="2"/>
        <v>0</v>
      </c>
      <c r="AG7" s="22">
        <f t="shared" ref="AG7" si="3">SUM(AG31,AG53)</f>
        <v>0</v>
      </c>
    </row>
    <row r="8" spans="1:33" s="255" customFormat="1">
      <c r="A8" s="114" t="s">
        <v>9</v>
      </c>
      <c r="B8" s="84">
        <f t="shared" ref="B8:AG8" si="4">SUM(B6:B7)</f>
        <v>842</v>
      </c>
      <c r="C8" s="85">
        <f t="shared" si="4"/>
        <v>0</v>
      </c>
      <c r="D8" s="85">
        <f t="shared" si="4"/>
        <v>0</v>
      </c>
      <c r="E8" s="85">
        <f t="shared" si="4"/>
        <v>107</v>
      </c>
      <c r="F8" s="85">
        <f t="shared" si="4"/>
        <v>49</v>
      </c>
      <c r="G8" s="85">
        <f t="shared" si="4"/>
        <v>27</v>
      </c>
      <c r="H8" s="85">
        <f t="shared" si="4"/>
        <v>36</v>
      </c>
      <c r="I8" s="85">
        <f t="shared" si="4"/>
        <v>44</v>
      </c>
      <c r="J8" s="85">
        <f t="shared" si="4"/>
        <v>0</v>
      </c>
      <c r="K8" s="85">
        <f t="shared" si="4"/>
        <v>0</v>
      </c>
      <c r="L8" s="85">
        <f t="shared" si="4"/>
        <v>57</v>
      </c>
      <c r="M8" s="85">
        <f t="shared" si="4"/>
        <v>31</v>
      </c>
      <c r="N8" s="85">
        <f t="shared" si="4"/>
        <v>40</v>
      </c>
      <c r="O8" s="85">
        <f t="shared" si="4"/>
        <v>26</v>
      </c>
      <c r="P8" s="85">
        <f t="shared" si="4"/>
        <v>55</v>
      </c>
      <c r="Q8" s="85">
        <f t="shared" si="4"/>
        <v>0</v>
      </c>
      <c r="R8" s="85">
        <f t="shared" si="4"/>
        <v>0</v>
      </c>
      <c r="S8" s="85">
        <f t="shared" si="4"/>
        <v>46</v>
      </c>
      <c r="T8" s="85">
        <f t="shared" si="4"/>
        <v>45</v>
      </c>
      <c r="U8" s="85">
        <f t="shared" si="4"/>
        <v>16</v>
      </c>
      <c r="V8" s="85">
        <f t="shared" si="4"/>
        <v>22</v>
      </c>
      <c r="W8" s="85">
        <f t="shared" si="4"/>
        <v>22</v>
      </c>
      <c r="X8" s="85">
        <f t="shared" si="4"/>
        <v>0</v>
      </c>
      <c r="Y8" s="85">
        <f t="shared" si="4"/>
        <v>0</v>
      </c>
      <c r="Z8" s="85">
        <f t="shared" si="4"/>
        <v>73</v>
      </c>
      <c r="AA8" s="85">
        <f t="shared" si="4"/>
        <v>49</v>
      </c>
      <c r="AB8" s="85">
        <f t="shared" si="4"/>
        <v>26</v>
      </c>
      <c r="AC8" s="85">
        <f t="shared" si="4"/>
        <v>45</v>
      </c>
      <c r="AD8" s="85">
        <f t="shared" si="4"/>
        <v>26</v>
      </c>
      <c r="AE8" s="85">
        <f t="shared" si="4"/>
        <v>0</v>
      </c>
      <c r="AF8" s="85">
        <f t="shared" si="4"/>
        <v>0</v>
      </c>
      <c r="AG8" s="85">
        <f t="shared" si="4"/>
        <v>0</v>
      </c>
    </row>
    <row r="9" spans="1:33" s="39" customFormat="1" ht="15.75">
      <c r="A9" s="403" t="s">
        <v>880</v>
      </c>
      <c r="B9" s="403"/>
      <c r="C9" s="403"/>
      <c r="D9" s="403"/>
      <c r="E9" s="403"/>
      <c r="F9" s="403"/>
      <c r="G9" s="403"/>
      <c r="H9" s="403"/>
      <c r="I9" s="403"/>
      <c r="J9" s="403"/>
      <c r="K9" s="403"/>
      <c r="L9" s="403"/>
      <c r="M9" s="403"/>
      <c r="N9" s="403"/>
      <c r="O9" s="403"/>
      <c r="P9" s="403"/>
      <c r="Q9" s="403"/>
      <c r="R9" s="403"/>
      <c r="S9" s="403"/>
      <c r="T9" s="403"/>
      <c r="U9" s="403"/>
      <c r="V9" s="403"/>
      <c r="W9" s="403"/>
      <c r="X9" s="403"/>
      <c r="Y9" s="403"/>
      <c r="Z9" s="403"/>
      <c r="AA9" s="403"/>
      <c r="AB9" s="403"/>
      <c r="AC9" s="403"/>
      <c r="AD9" s="403"/>
      <c r="AE9" s="403"/>
      <c r="AF9" s="403"/>
      <c r="AG9" s="403"/>
    </row>
    <row r="10" spans="1:33" s="255" customFormat="1">
      <c r="A10" s="114" t="s">
        <v>143</v>
      </c>
      <c r="B10" s="151" t="s">
        <v>13</v>
      </c>
      <c r="C10" s="113">
        <f>$C$5</f>
        <v>45444</v>
      </c>
      <c r="D10" s="113">
        <f>C10+1</f>
        <v>45445</v>
      </c>
      <c r="E10" s="113">
        <f t="shared" ref="E10:AG10" si="5">D10+1</f>
        <v>45446</v>
      </c>
      <c r="F10" s="113">
        <f t="shared" si="5"/>
        <v>45447</v>
      </c>
      <c r="G10" s="113">
        <f t="shared" si="5"/>
        <v>45448</v>
      </c>
      <c r="H10" s="113">
        <f t="shared" si="5"/>
        <v>45449</v>
      </c>
      <c r="I10" s="113">
        <f t="shared" si="5"/>
        <v>45450</v>
      </c>
      <c r="J10" s="113">
        <f t="shared" si="5"/>
        <v>45451</v>
      </c>
      <c r="K10" s="113">
        <f t="shared" si="5"/>
        <v>45452</v>
      </c>
      <c r="L10" s="113">
        <f t="shared" si="5"/>
        <v>45453</v>
      </c>
      <c r="M10" s="113">
        <f t="shared" si="5"/>
        <v>45454</v>
      </c>
      <c r="N10" s="113">
        <f t="shared" si="5"/>
        <v>45455</v>
      </c>
      <c r="O10" s="113">
        <f t="shared" si="5"/>
        <v>45456</v>
      </c>
      <c r="P10" s="113">
        <f t="shared" si="5"/>
        <v>45457</v>
      </c>
      <c r="Q10" s="113">
        <f t="shared" si="5"/>
        <v>45458</v>
      </c>
      <c r="R10" s="113">
        <f t="shared" si="5"/>
        <v>45459</v>
      </c>
      <c r="S10" s="113">
        <f t="shared" si="5"/>
        <v>45460</v>
      </c>
      <c r="T10" s="113">
        <f t="shared" si="5"/>
        <v>45461</v>
      </c>
      <c r="U10" s="113">
        <f t="shared" si="5"/>
        <v>45462</v>
      </c>
      <c r="V10" s="113">
        <f t="shared" si="5"/>
        <v>45463</v>
      </c>
      <c r="W10" s="113">
        <f t="shared" si="5"/>
        <v>45464</v>
      </c>
      <c r="X10" s="113">
        <f t="shared" si="5"/>
        <v>45465</v>
      </c>
      <c r="Y10" s="113">
        <f t="shared" si="5"/>
        <v>45466</v>
      </c>
      <c r="Z10" s="113">
        <f t="shared" si="5"/>
        <v>45467</v>
      </c>
      <c r="AA10" s="113">
        <f t="shared" si="5"/>
        <v>45468</v>
      </c>
      <c r="AB10" s="113">
        <f t="shared" si="5"/>
        <v>45469</v>
      </c>
      <c r="AC10" s="113">
        <f t="shared" si="5"/>
        <v>45470</v>
      </c>
      <c r="AD10" s="113">
        <f t="shared" si="5"/>
        <v>45471</v>
      </c>
      <c r="AE10" s="113">
        <f t="shared" si="5"/>
        <v>45472</v>
      </c>
      <c r="AF10" s="113">
        <f t="shared" si="5"/>
        <v>45473</v>
      </c>
      <c r="AG10" s="113">
        <f t="shared" si="5"/>
        <v>45474</v>
      </c>
    </row>
    <row r="11" spans="1:33" s="39" customFormat="1">
      <c r="A11" s="12" t="s">
        <v>881</v>
      </c>
      <c r="B11" s="22">
        <f>SUM(C11:AG11)</f>
        <v>0</v>
      </c>
      <c r="C11" s="22">
        <f>SUM(C35,C59)</f>
        <v>0</v>
      </c>
      <c r="D11" s="22">
        <f t="shared" ref="D11:AG11" si="6">SUM(D35,D59)</f>
        <v>0</v>
      </c>
      <c r="E11" s="22">
        <f t="shared" si="6"/>
        <v>0</v>
      </c>
      <c r="F11" s="22">
        <f t="shared" si="6"/>
        <v>0</v>
      </c>
      <c r="G11" s="22">
        <f t="shared" si="6"/>
        <v>0</v>
      </c>
      <c r="H11" s="22">
        <f t="shared" si="6"/>
        <v>0</v>
      </c>
      <c r="I11" s="22">
        <f t="shared" si="6"/>
        <v>0</v>
      </c>
      <c r="J11" s="22">
        <f t="shared" si="6"/>
        <v>0</v>
      </c>
      <c r="K11" s="22">
        <f t="shared" si="6"/>
        <v>0</v>
      </c>
      <c r="L11" s="22">
        <f t="shared" si="6"/>
        <v>0</v>
      </c>
      <c r="M11" s="22">
        <f t="shared" si="6"/>
        <v>0</v>
      </c>
      <c r="N11" s="22">
        <f t="shared" si="6"/>
        <v>0</v>
      </c>
      <c r="O11" s="22">
        <f t="shared" si="6"/>
        <v>0</v>
      </c>
      <c r="P11" s="22">
        <f t="shared" si="6"/>
        <v>0</v>
      </c>
      <c r="Q11" s="22">
        <f t="shared" si="6"/>
        <v>0</v>
      </c>
      <c r="R11" s="22">
        <f t="shared" si="6"/>
        <v>0</v>
      </c>
      <c r="S11" s="22">
        <f t="shared" si="6"/>
        <v>0</v>
      </c>
      <c r="T11" s="22">
        <f t="shared" si="6"/>
        <v>0</v>
      </c>
      <c r="U11" s="22">
        <f t="shared" si="6"/>
        <v>0</v>
      </c>
      <c r="V11" s="22">
        <f t="shared" si="6"/>
        <v>0</v>
      </c>
      <c r="W11" s="22">
        <f t="shared" si="6"/>
        <v>0</v>
      </c>
      <c r="X11" s="22">
        <f t="shared" si="6"/>
        <v>0</v>
      </c>
      <c r="Y11" s="22">
        <f t="shared" si="6"/>
        <v>0</v>
      </c>
      <c r="Z11" s="22">
        <f t="shared" si="6"/>
        <v>0</v>
      </c>
      <c r="AA11" s="22">
        <f t="shared" si="6"/>
        <v>0</v>
      </c>
      <c r="AB11" s="22">
        <f t="shared" si="6"/>
        <v>0</v>
      </c>
      <c r="AC11" s="22">
        <f t="shared" si="6"/>
        <v>0</v>
      </c>
      <c r="AD11" s="22">
        <f t="shared" si="6"/>
        <v>0</v>
      </c>
      <c r="AE11" s="22">
        <f t="shared" si="6"/>
        <v>0</v>
      </c>
      <c r="AF11" s="22">
        <f t="shared" si="6"/>
        <v>0</v>
      </c>
      <c r="AG11" s="22">
        <f t="shared" si="6"/>
        <v>0</v>
      </c>
    </row>
    <row r="12" spans="1:33" s="255" customFormat="1">
      <c r="A12" s="114" t="s">
        <v>9</v>
      </c>
      <c r="B12" s="84">
        <f t="shared" ref="B12:AG12" si="7">SUM(B11:B11)</f>
        <v>0</v>
      </c>
      <c r="C12" s="85">
        <f t="shared" si="7"/>
        <v>0</v>
      </c>
      <c r="D12" s="85">
        <f t="shared" si="7"/>
        <v>0</v>
      </c>
      <c r="E12" s="85">
        <f t="shared" si="7"/>
        <v>0</v>
      </c>
      <c r="F12" s="85">
        <f t="shared" si="7"/>
        <v>0</v>
      </c>
      <c r="G12" s="85">
        <f t="shared" si="7"/>
        <v>0</v>
      </c>
      <c r="H12" s="85">
        <f t="shared" si="7"/>
        <v>0</v>
      </c>
      <c r="I12" s="85">
        <f t="shared" si="7"/>
        <v>0</v>
      </c>
      <c r="J12" s="85">
        <f t="shared" si="7"/>
        <v>0</v>
      </c>
      <c r="K12" s="85">
        <f t="shared" si="7"/>
        <v>0</v>
      </c>
      <c r="L12" s="85">
        <f t="shared" si="7"/>
        <v>0</v>
      </c>
      <c r="M12" s="85">
        <f t="shared" si="7"/>
        <v>0</v>
      </c>
      <c r="N12" s="85">
        <f t="shared" si="7"/>
        <v>0</v>
      </c>
      <c r="O12" s="85">
        <f t="shared" si="7"/>
        <v>0</v>
      </c>
      <c r="P12" s="85">
        <f t="shared" si="7"/>
        <v>0</v>
      </c>
      <c r="Q12" s="85">
        <f t="shared" si="7"/>
        <v>0</v>
      </c>
      <c r="R12" s="85">
        <f t="shared" si="7"/>
        <v>0</v>
      </c>
      <c r="S12" s="85">
        <f t="shared" si="7"/>
        <v>0</v>
      </c>
      <c r="T12" s="85">
        <f t="shared" si="7"/>
        <v>0</v>
      </c>
      <c r="U12" s="85">
        <f t="shared" si="7"/>
        <v>0</v>
      </c>
      <c r="V12" s="85">
        <f t="shared" si="7"/>
        <v>0</v>
      </c>
      <c r="W12" s="85">
        <f t="shared" si="7"/>
        <v>0</v>
      </c>
      <c r="X12" s="85">
        <f t="shared" si="7"/>
        <v>0</v>
      </c>
      <c r="Y12" s="85">
        <f t="shared" si="7"/>
        <v>0</v>
      </c>
      <c r="Z12" s="85">
        <f t="shared" si="7"/>
        <v>0</v>
      </c>
      <c r="AA12" s="85">
        <f t="shared" si="7"/>
        <v>0</v>
      </c>
      <c r="AB12" s="85">
        <f t="shared" si="7"/>
        <v>0</v>
      </c>
      <c r="AC12" s="85">
        <f t="shared" si="7"/>
        <v>0</v>
      </c>
      <c r="AD12" s="85">
        <f t="shared" si="7"/>
        <v>0</v>
      </c>
      <c r="AE12" s="85">
        <f t="shared" si="7"/>
        <v>0</v>
      </c>
      <c r="AF12" s="85">
        <f t="shared" si="7"/>
        <v>0</v>
      </c>
      <c r="AG12" s="85">
        <f t="shared" si="7"/>
        <v>0</v>
      </c>
    </row>
    <row r="13" spans="1:33" s="39" customFormat="1" ht="15.75">
      <c r="A13" s="403" t="s">
        <v>882</v>
      </c>
      <c r="B13" s="403"/>
      <c r="C13" s="403"/>
      <c r="D13" s="403"/>
      <c r="E13" s="403"/>
      <c r="F13" s="403"/>
      <c r="G13" s="403"/>
      <c r="H13" s="403"/>
      <c r="I13" s="403"/>
      <c r="J13" s="403"/>
      <c r="K13" s="403"/>
      <c r="L13" s="403"/>
      <c r="M13" s="403"/>
      <c r="N13" s="403"/>
      <c r="O13" s="403"/>
      <c r="P13" s="403"/>
      <c r="Q13" s="403"/>
      <c r="R13" s="403"/>
      <c r="S13" s="403"/>
      <c r="T13" s="403"/>
      <c r="U13" s="403"/>
      <c r="V13" s="403"/>
      <c r="W13" s="403"/>
      <c r="X13" s="403"/>
      <c r="Y13" s="403"/>
      <c r="Z13" s="403"/>
      <c r="AA13" s="403"/>
      <c r="AB13" s="403"/>
      <c r="AC13" s="403"/>
      <c r="AD13" s="403"/>
      <c r="AE13" s="403"/>
      <c r="AF13" s="403"/>
      <c r="AG13" s="403"/>
    </row>
    <row r="14" spans="1:33" s="255" customFormat="1">
      <c r="A14" s="114" t="s">
        <v>883</v>
      </c>
      <c r="B14" s="151" t="s">
        <v>13</v>
      </c>
      <c r="C14" s="113">
        <f>$C$5</f>
        <v>45444</v>
      </c>
      <c r="D14" s="113">
        <f>C14+1</f>
        <v>45445</v>
      </c>
      <c r="E14" s="113">
        <f t="shared" ref="E14:AG14" si="8">D14+1</f>
        <v>45446</v>
      </c>
      <c r="F14" s="113">
        <f t="shared" si="8"/>
        <v>45447</v>
      </c>
      <c r="G14" s="113">
        <f t="shared" si="8"/>
        <v>45448</v>
      </c>
      <c r="H14" s="113">
        <f t="shared" si="8"/>
        <v>45449</v>
      </c>
      <c r="I14" s="113">
        <f t="shared" si="8"/>
        <v>45450</v>
      </c>
      <c r="J14" s="113">
        <f t="shared" si="8"/>
        <v>45451</v>
      </c>
      <c r="K14" s="113">
        <f t="shared" si="8"/>
        <v>45452</v>
      </c>
      <c r="L14" s="113">
        <f t="shared" si="8"/>
        <v>45453</v>
      </c>
      <c r="M14" s="113">
        <f t="shared" si="8"/>
        <v>45454</v>
      </c>
      <c r="N14" s="113">
        <f t="shared" si="8"/>
        <v>45455</v>
      </c>
      <c r="O14" s="113">
        <f t="shared" si="8"/>
        <v>45456</v>
      </c>
      <c r="P14" s="113">
        <f t="shared" si="8"/>
        <v>45457</v>
      </c>
      <c r="Q14" s="113">
        <f t="shared" si="8"/>
        <v>45458</v>
      </c>
      <c r="R14" s="113">
        <f t="shared" si="8"/>
        <v>45459</v>
      </c>
      <c r="S14" s="113">
        <f t="shared" si="8"/>
        <v>45460</v>
      </c>
      <c r="T14" s="113">
        <f t="shared" si="8"/>
        <v>45461</v>
      </c>
      <c r="U14" s="113">
        <f t="shared" si="8"/>
        <v>45462</v>
      </c>
      <c r="V14" s="113">
        <f t="shared" si="8"/>
        <v>45463</v>
      </c>
      <c r="W14" s="113">
        <f t="shared" si="8"/>
        <v>45464</v>
      </c>
      <c r="X14" s="113">
        <f t="shared" si="8"/>
        <v>45465</v>
      </c>
      <c r="Y14" s="113">
        <f t="shared" si="8"/>
        <v>45466</v>
      </c>
      <c r="Z14" s="113">
        <f t="shared" si="8"/>
        <v>45467</v>
      </c>
      <c r="AA14" s="113">
        <f t="shared" si="8"/>
        <v>45468</v>
      </c>
      <c r="AB14" s="113">
        <f t="shared" si="8"/>
        <v>45469</v>
      </c>
      <c r="AC14" s="113">
        <f t="shared" si="8"/>
        <v>45470</v>
      </c>
      <c r="AD14" s="113">
        <f t="shared" si="8"/>
        <v>45471</v>
      </c>
      <c r="AE14" s="113">
        <f t="shared" si="8"/>
        <v>45472</v>
      </c>
      <c r="AF14" s="113">
        <f t="shared" si="8"/>
        <v>45473</v>
      </c>
      <c r="AG14" s="113">
        <f t="shared" si="8"/>
        <v>45474</v>
      </c>
    </row>
    <row r="15" spans="1:33" s="39" customFormat="1">
      <c r="A15" s="256" t="s">
        <v>884</v>
      </c>
      <c r="B15" s="22">
        <f>SUM(C15:AG15)</f>
        <v>0</v>
      </c>
      <c r="C15" s="22">
        <f>SUM(C39,C63)</f>
        <v>0</v>
      </c>
      <c r="D15" s="22">
        <f t="shared" ref="D15:AG16" si="9">SUM(D39,D63)</f>
        <v>0</v>
      </c>
      <c r="E15" s="22">
        <f t="shared" si="9"/>
        <v>0</v>
      </c>
      <c r="F15" s="22">
        <f t="shared" si="9"/>
        <v>0</v>
      </c>
      <c r="G15" s="22">
        <f t="shared" si="9"/>
        <v>0</v>
      </c>
      <c r="H15" s="22">
        <f t="shared" si="9"/>
        <v>0</v>
      </c>
      <c r="I15" s="22">
        <f t="shared" si="9"/>
        <v>0</v>
      </c>
      <c r="J15" s="22">
        <f t="shared" si="9"/>
        <v>0</v>
      </c>
      <c r="K15" s="22">
        <f t="shared" si="9"/>
        <v>0</v>
      </c>
      <c r="L15" s="22">
        <f t="shared" si="9"/>
        <v>0</v>
      </c>
      <c r="M15" s="22">
        <f t="shared" si="9"/>
        <v>0</v>
      </c>
      <c r="N15" s="22">
        <f t="shared" si="9"/>
        <v>0</v>
      </c>
      <c r="O15" s="22">
        <f t="shared" si="9"/>
        <v>0</v>
      </c>
      <c r="P15" s="22">
        <f t="shared" si="9"/>
        <v>0</v>
      </c>
      <c r="Q15" s="22">
        <f t="shared" si="9"/>
        <v>0</v>
      </c>
      <c r="R15" s="22">
        <f t="shared" si="9"/>
        <v>0</v>
      </c>
      <c r="S15" s="22">
        <f t="shared" si="9"/>
        <v>0</v>
      </c>
      <c r="T15" s="22">
        <f t="shared" si="9"/>
        <v>0</v>
      </c>
      <c r="U15" s="22">
        <f t="shared" si="9"/>
        <v>0</v>
      </c>
      <c r="V15" s="22">
        <f t="shared" si="9"/>
        <v>0</v>
      </c>
      <c r="W15" s="22">
        <f t="shared" si="9"/>
        <v>0</v>
      </c>
      <c r="X15" s="22">
        <f t="shared" si="9"/>
        <v>0</v>
      </c>
      <c r="Y15" s="22">
        <f t="shared" si="9"/>
        <v>0</v>
      </c>
      <c r="Z15" s="22">
        <f t="shared" si="9"/>
        <v>0</v>
      </c>
      <c r="AA15" s="22">
        <f t="shared" si="9"/>
        <v>0</v>
      </c>
      <c r="AB15" s="22">
        <f t="shared" si="9"/>
        <v>0</v>
      </c>
      <c r="AC15" s="22">
        <f t="shared" si="9"/>
        <v>0</v>
      </c>
      <c r="AD15" s="22">
        <f t="shared" si="9"/>
        <v>0</v>
      </c>
      <c r="AE15" s="22">
        <f t="shared" si="9"/>
        <v>0</v>
      </c>
      <c r="AF15" s="22">
        <f t="shared" si="9"/>
        <v>0</v>
      </c>
      <c r="AG15" s="22">
        <f t="shared" si="9"/>
        <v>0</v>
      </c>
    </row>
    <row r="16" spans="1:33" s="39" customFormat="1">
      <c r="A16" s="256" t="s">
        <v>885</v>
      </c>
      <c r="B16" s="22">
        <f>SUM(C16:AG16)</f>
        <v>0</v>
      </c>
      <c r="C16" s="22">
        <f>SUM(C40,C64)</f>
        <v>0</v>
      </c>
      <c r="D16" s="22">
        <f t="shared" si="9"/>
        <v>0</v>
      </c>
      <c r="E16" s="22">
        <f t="shared" si="9"/>
        <v>0</v>
      </c>
      <c r="F16" s="22">
        <f t="shared" si="9"/>
        <v>0</v>
      </c>
      <c r="G16" s="22">
        <f t="shared" si="9"/>
        <v>0</v>
      </c>
      <c r="H16" s="22">
        <f t="shared" si="9"/>
        <v>0</v>
      </c>
      <c r="I16" s="22">
        <f t="shared" si="9"/>
        <v>0</v>
      </c>
      <c r="J16" s="22">
        <f t="shared" si="9"/>
        <v>0</v>
      </c>
      <c r="K16" s="22">
        <f t="shared" si="9"/>
        <v>0</v>
      </c>
      <c r="L16" s="22">
        <f t="shared" si="9"/>
        <v>0</v>
      </c>
      <c r="M16" s="22">
        <f t="shared" si="9"/>
        <v>0</v>
      </c>
      <c r="N16" s="22">
        <f t="shared" si="9"/>
        <v>0</v>
      </c>
      <c r="O16" s="22">
        <f t="shared" si="9"/>
        <v>0</v>
      </c>
      <c r="P16" s="22">
        <f t="shared" si="9"/>
        <v>0</v>
      </c>
      <c r="Q16" s="22">
        <f t="shared" si="9"/>
        <v>0</v>
      </c>
      <c r="R16" s="22">
        <f t="shared" si="9"/>
        <v>0</v>
      </c>
      <c r="S16" s="22">
        <f t="shared" si="9"/>
        <v>0</v>
      </c>
      <c r="T16" s="22">
        <f t="shared" si="9"/>
        <v>0</v>
      </c>
      <c r="U16" s="22">
        <f t="shared" si="9"/>
        <v>0</v>
      </c>
      <c r="V16" s="22">
        <f t="shared" si="9"/>
        <v>0</v>
      </c>
      <c r="W16" s="22">
        <f t="shared" si="9"/>
        <v>0</v>
      </c>
      <c r="X16" s="22">
        <f t="shared" si="9"/>
        <v>0</v>
      </c>
      <c r="Y16" s="22">
        <f t="shared" si="9"/>
        <v>0</v>
      </c>
      <c r="Z16" s="22">
        <f t="shared" si="9"/>
        <v>0</v>
      </c>
      <c r="AA16" s="22">
        <f t="shared" si="9"/>
        <v>0</v>
      </c>
      <c r="AB16" s="22">
        <f t="shared" si="9"/>
        <v>0</v>
      </c>
      <c r="AC16" s="22">
        <f t="shared" si="9"/>
        <v>0</v>
      </c>
      <c r="AD16" s="22">
        <f t="shared" si="9"/>
        <v>0</v>
      </c>
      <c r="AE16" s="22">
        <f t="shared" si="9"/>
        <v>0</v>
      </c>
      <c r="AF16" s="22">
        <f t="shared" si="9"/>
        <v>0</v>
      </c>
      <c r="AG16" s="22">
        <f t="shared" si="9"/>
        <v>0</v>
      </c>
    </row>
    <row r="17" spans="1:33" s="255" customFormat="1">
      <c r="A17" s="114" t="s">
        <v>9</v>
      </c>
      <c r="B17" s="84">
        <f t="shared" ref="B17:AG17" si="10">SUM(B15:B16)</f>
        <v>0</v>
      </c>
      <c r="C17" s="85">
        <f t="shared" si="10"/>
        <v>0</v>
      </c>
      <c r="D17" s="85">
        <f t="shared" si="10"/>
        <v>0</v>
      </c>
      <c r="E17" s="85">
        <f t="shared" si="10"/>
        <v>0</v>
      </c>
      <c r="F17" s="85">
        <f t="shared" si="10"/>
        <v>0</v>
      </c>
      <c r="G17" s="85">
        <f t="shared" si="10"/>
        <v>0</v>
      </c>
      <c r="H17" s="85">
        <f t="shared" si="10"/>
        <v>0</v>
      </c>
      <c r="I17" s="85">
        <f t="shared" si="10"/>
        <v>0</v>
      </c>
      <c r="J17" s="85">
        <f t="shared" si="10"/>
        <v>0</v>
      </c>
      <c r="K17" s="85">
        <f t="shared" si="10"/>
        <v>0</v>
      </c>
      <c r="L17" s="85">
        <f t="shared" si="10"/>
        <v>0</v>
      </c>
      <c r="M17" s="85">
        <f t="shared" si="10"/>
        <v>0</v>
      </c>
      <c r="N17" s="85">
        <f t="shared" si="10"/>
        <v>0</v>
      </c>
      <c r="O17" s="85">
        <f t="shared" si="10"/>
        <v>0</v>
      </c>
      <c r="P17" s="85">
        <f t="shared" si="10"/>
        <v>0</v>
      </c>
      <c r="Q17" s="85">
        <f t="shared" si="10"/>
        <v>0</v>
      </c>
      <c r="R17" s="85">
        <f t="shared" si="10"/>
        <v>0</v>
      </c>
      <c r="S17" s="85">
        <f t="shared" si="10"/>
        <v>0</v>
      </c>
      <c r="T17" s="85">
        <f t="shared" si="10"/>
        <v>0</v>
      </c>
      <c r="U17" s="85">
        <f t="shared" si="10"/>
        <v>0</v>
      </c>
      <c r="V17" s="85">
        <f t="shared" si="10"/>
        <v>0</v>
      </c>
      <c r="W17" s="85">
        <f t="shared" si="10"/>
        <v>0</v>
      </c>
      <c r="X17" s="85">
        <f t="shared" si="10"/>
        <v>0</v>
      </c>
      <c r="Y17" s="85">
        <f t="shared" si="10"/>
        <v>0</v>
      </c>
      <c r="Z17" s="85">
        <f t="shared" si="10"/>
        <v>0</v>
      </c>
      <c r="AA17" s="85">
        <f t="shared" si="10"/>
        <v>0</v>
      </c>
      <c r="AB17" s="85">
        <f t="shared" si="10"/>
        <v>0</v>
      </c>
      <c r="AC17" s="85">
        <f t="shared" si="10"/>
        <v>0</v>
      </c>
      <c r="AD17" s="85">
        <f t="shared" si="10"/>
        <v>0</v>
      </c>
      <c r="AE17" s="85">
        <f t="shared" si="10"/>
        <v>0</v>
      </c>
      <c r="AF17" s="85">
        <f t="shared" si="10"/>
        <v>0</v>
      </c>
      <c r="AG17" s="85">
        <f t="shared" si="10"/>
        <v>0</v>
      </c>
    </row>
    <row r="18" spans="1:33" s="39" customFormat="1" ht="15.75">
      <c r="A18" s="403" t="s">
        <v>886</v>
      </c>
      <c r="B18" s="403"/>
      <c r="C18" s="403"/>
      <c r="D18" s="403"/>
      <c r="E18" s="403"/>
      <c r="F18" s="403"/>
      <c r="G18" s="403"/>
      <c r="H18" s="403"/>
      <c r="I18" s="403"/>
      <c r="J18" s="403"/>
      <c r="K18" s="403"/>
      <c r="L18" s="403"/>
      <c r="M18" s="403"/>
      <c r="N18" s="403"/>
      <c r="O18" s="403"/>
      <c r="P18" s="403"/>
      <c r="Q18" s="403"/>
      <c r="R18" s="403"/>
      <c r="S18" s="403"/>
      <c r="T18" s="403"/>
      <c r="U18" s="403"/>
      <c r="V18" s="403"/>
      <c r="W18" s="403"/>
      <c r="X18" s="403"/>
      <c r="Y18" s="403"/>
      <c r="Z18" s="403"/>
      <c r="AA18" s="403"/>
      <c r="AB18" s="403"/>
      <c r="AC18" s="403"/>
      <c r="AD18" s="403"/>
      <c r="AE18" s="403"/>
      <c r="AF18" s="403"/>
      <c r="AG18" s="403"/>
    </row>
    <row r="19" spans="1:33" s="255" customFormat="1">
      <c r="A19" s="114" t="s">
        <v>887</v>
      </c>
      <c r="B19" s="151" t="s">
        <v>13</v>
      </c>
      <c r="C19" s="113">
        <f>$C$5</f>
        <v>45444</v>
      </c>
      <c r="D19" s="113">
        <f>C19+1</f>
        <v>45445</v>
      </c>
      <c r="E19" s="113">
        <f t="shared" ref="E19:AG19" si="11">D19+1</f>
        <v>45446</v>
      </c>
      <c r="F19" s="113">
        <f t="shared" si="11"/>
        <v>45447</v>
      </c>
      <c r="G19" s="113">
        <f t="shared" si="11"/>
        <v>45448</v>
      </c>
      <c r="H19" s="113">
        <f t="shared" si="11"/>
        <v>45449</v>
      </c>
      <c r="I19" s="113">
        <f t="shared" si="11"/>
        <v>45450</v>
      </c>
      <c r="J19" s="113">
        <f t="shared" si="11"/>
        <v>45451</v>
      </c>
      <c r="K19" s="113">
        <f t="shared" si="11"/>
        <v>45452</v>
      </c>
      <c r="L19" s="113">
        <f t="shared" si="11"/>
        <v>45453</v>
      </c>
      <c r="M19" s="113">
        <f t="shared" si="11"/>
        <v>45454</v>
      </c>
      <c r="N19" s="113">
        <f t="shared" si="11"/>
        <v>45455</v>
      </c>
      <c r="O19" s="113">
        <f t="shared" si="11"/>
        <v>45456</v>
      </c>
      <c r="P19" s="113">
        <f t="shared" si="11"/>
        <v>45457</v>
      </c>
      <c r="Q19" s="113">
        <f t="shared" si="11"/>
        <v>45458</v>
      </c>
      <c r="R19" s="113">
        <f t="shared" si="11"/>
        <v>45459</v>
      </c>
      <c r="S19" s="113">
        <f t="shared" si="11"/>
        <v>45460</v>
      </c>
      <c r="T19" s="113">
        <f t="shared" si="11"/>
        <v>45461</v>
      </c>
      <c r="U19" s="113">
        <f t="shared" si="11"/>
        <v>45462</v>
      </c>
      <c r="V19" s="113">
        <f t="shared" si="11"/>
        <v>45463</v>
      </c>
      <c r="W19" s="113">
        <f t="shared" si="11"/>
        <v>45464</v>
      </c>
      <c r="X19" s="113">
        <f t="shared" si="11"/>
        <v>45465</v>
      </c>
      <c r="Y19" s="113">
        <f t="shared" si="11"/>
        <v>45466</v>
      </c>
      <c r="Z19" s="113">
        <f t="shared" si="11"/>
        <v>45467</v>
      </c>
      <c r="AA19" s="113">
        <f t="shared" si="11"/>
        <v>45468</v>
      </c>
      <c r="AB19" s="113">
        <f t="shared" si="11"/>
        <v>45469</v>
      </c>
      <c r="AC19" s="113">
        <f t="shared" si="11"/>
        <v>45470</v>
      </c>
      <c r="AD19" s="113">
        <f t="shared" si="11"/>
        <v>45471</v>
      </c>
      <c r="AE19" s="113">
        <f t="shared" si="11"/>
        <v>45472</v>
      </c>
      <c r="AF19" s="113">
        <f t="shared" si="11"/>
        <v>45473</v>
      </c>
      <c r="AG19" s="113">
        <f t="shared" si="11"/>
        <v>45474</v>
      </c>
    </row>
    <row r="20" spans="1:33" s="39" customFormat="1">
      <c r="A20" s="12" t="s">
        <v>888</v>
      </c>
      <c r="B20" s="22">
        <f>SUM(C20:AG20)</f>
        <v>842</v>
      </c>
      <c r="C20" s="22">
        <f t="shared" ref="C20:AG20" si="12">C8</f>
        <v>0</v>
      </c>
      <c r="D20" s="22">
        <f t="shared" si="12"/>
        <v>0</v>
      </c>
      <c r="E20" s="22">
        <f t="shared" si="12"/>
        <v>107</v>
      </c>
      <c r="F20" s="22">
        <f t="shared" si="12"/>
        <v>49</v>
      </c>
      <c r="G20" s="22">
        <f t="shared" si="12"/>
        <v>27</v>
      </c>
      <c r="H20" s="22">
        <f t="shared" si="12"/>
        <v>36</v>
      </c>
      <c r="I20" s="22">
        <f t="shared" si="12"/>
        <v>44</v>
      </c>
      <c r="J20" s="22">
        <f t="shared" si="12"/>
        <v>0</v>
      </c>
      <c r="K20" s="22">
        <f t="shared" si="12"/>
        <v>0</v>
      </c>
      <c r="L20" s="22">
        <f t="shared" si="12"/>
        <v>57</v>
      </c>
      <c r="M20" s="22">
        <f t="shared" si="12"/>
        <v>31</v>
      </c>
      <c r="N20" s="22">
        <f t="shared" si="12"/>
        <v>40</v>
      </c>
      <c r="O20" s="22">
        <f t="shared" si="12"/>
        <v>26</v>
      </c>
      <c r="P20" s="22">
        <f t="shared" si="12"/>
        <v>55</v>
      </c>
      <c r="Q20" s="22">
        <f t="shared" si="12"/>
        <v>0</v>
      </c>
      <c r="R20" s="22">
        <f t="shared" si="12"/>
        <v>0</v>
      </c>
      <c r="S20" s="22">
        <f t="shared" si="12"/>
        <v>46</v>
      </c>
      <c r="T20" s="22">
        <f t="shared" si="12"/>
        <v>45</v>
      </c>
      <c r="U20" s="22">
        <f t="shared" si="12"/>
        <v>16</v>
      </c>
      <c r="V20" s="22">
        <f t="shared" si="12"/>
        <v>22</v>
      </c>
      <c r="W20" s="22">
        <f t="shared" si="12"/>
        <v>22</v>
      </c>
      <c r="X20" s="22">
        <f t="shared" si="12"/>
        <v>0</v>
      </c>
      <c r="Y20" s="22">
        <f t="shared" si="12"/>
        <v>0</v>
      </c>
      <c r="Z20" s="22">
        <f t="shared" si="12"/>
        <v>73</v>
      </c>
      <c r="AA20" s="22">
        <f t="shared" si="12"/>
        <v>49</v>
      </c>
      <c r="AB20" s="22">
        <f t="shared" si="12"/>
        <v>26</v>
      </c>
      <c r="AC20" s="22">
        <f t="shared" si="12"/>
        <v>45</v>
      </c>
      <c r="AD20" s="22">
        <f t="shared" si="12"/>
        <v>26</v>
      </c>
      <c r="AE20" s="22">
        <f t="shared" si="12"/>
        <v>0</v>
      </c>
      <c r="AF20" s="22">
        <f t="shared" si="12"/>
        <v>0</v>
      </c>
      <c r="AG20" s="22">
        <f t="shared" si="12"/>
        <v>0</v>
      </c>
    </row>
    <row r="21" spans="1:33" s="39" customFormat="1">
      <c r="A21" s="12" t="s">
        <v>889</v>
      </c>
      <c r="B21" s="22">
        <f>SUM(C21:AG21)</f>
        <v>0</v>
      </c>
      <c r="C21" s="22">
        <f t="shared" ref="C21:AG21" si="13">C12</f>
        <v>0</v>
      </c>
      <c r="D21" s="22">
        <f t="shared" si="13"/>
        <v>0</v>
      </c>
      <c r="E21" s="22">
        <f t="shared" si="13"/>
        <v>0</v>
      </c>
      <c r="F21" s="22">
        <f t="shared" si="13"/>
        <v>0</v>
      </c>
      <c r="G21" s="22">
        <f t="shared" si="13"/>
        <v>0</v>
      </c>
      <c r="H21" s="22">
        <f t="shared" si="13"/>
        <v>0</v>
      </c>
      <c r="I21" s="22">
        <f t="shared" si="13"/>
        <v>0</v>
      </c>
      <c r="J21" s="22">
        <f t="shared" si="13"/>
        <v>0</v>
      </c>
      <c r="K21" s="22">
        <f t="shared" si="13"/>
        <v>0</v>
      </c>
      <c r="L21" s="22">
        <f t="shared" si="13"/>
        <v>0</v>
      </c>
      <c r="M21" s="22">
        <f t="shared" si="13"/>
        <v>0</v>
      </c>
      <c r="N21" s="22">
        <f t="shared" si="13"/>
        <v>0</v>
      </c>
      <c r="O21" s="22">
        <f t="shared" si="13"/>
        <v>0</v>
      </c>
      <c r="P21" s="22">
        <f t="shared" si="13"/>
        <v>0</v>
      </c>
      <c r="Q21" s="22">
        <f t="shared" si="13"/>
        <v>0</v>
      </c>
      <c r="R21" s="22">
        <f t="shared" si="13"/>
        <v>0</v>
      </c>
      <c r="S21" s="22">
        <f t="shared" si="13"/>
        <v>0</v>
      </c>
      <c r="T21" s="22">
        <f t="shared" si="13"/>
        <v>0</v>
      </c>
      <c r="U21" s="22">
        <f t="shared" si="13"/>
        <v>0</v>
      </c>
      <c r="V21" s="22">
        <f t="shared" si="13"/>
        <v>0</v>
      </c>
      <c r="W21" s="22">
        <f t="shared" si="13"/>
        <v>0</v>
      </c>
      <c r="X21" s="22">
        <f t="shared" si="13"/>
        <v>0</v>
      </c>
      <c r="Y21" s="22">
        <f t="shared" si="13"/>
        <v>0</v>
      </c>
      <c r="Z21" s="22">
        <f t="shared" si="13"/>
        <v>0</v>
      </c>
      <c r="AA21" s="22">
        <f t="shared" si="13"/>
        <v>0</v>
      </c>
      <c r="AB21" s="22">
        <f t="shared" si="13"/>
        <v>0</v>
      </c>
      <c r="AC21" s="22">
        <f t="shared" si="13"/>
        <v>0</v>
      </c>
      <c r="AD21" s="22">
        <f t="shared" si="13"/>
        <v>0</v>
      </c>
      <c r="AE21" s="22">
        <f t="shared" si="13"/>
        <v>0</v>
      </c>
      <c r="AF21" s="22">
        <f t="shared" si="13"/>
        <v>0</v>
      </c>
      <c r="AG21" s="22">
        <f t="shared" si="13"/>
        <v>0</v>
      </c>
    </row>
    <row r="22" spans="1:33" s="39" customFormat="1">
      <c r="A22" s="12" t="s">
        <v>890</v>
      </c>
      <c r="B22" s="22">
        <f>SUM(C22:AG22)</f>
        <v>0</v>
      </c>
      <c r="C22" s="22">
        <f>C17</f>
        <v>0</v>
      </c>
      <c r="D22" s="22">
        <f t="shared" ref="D22:AG22" si="14">D17</f>
        <v>0</v>
      </c>
      <c r="E22" s="22">
        <f t="shared" si="14"/>
        <v>0</v>
      </c>
      <c r="F22" s="22">
        <f t="shared" si="14"/>
        <v>0</v>
      </c>
      <c r="G22" s="22">
        <f t="shared" si="14"/>
        <v>0</v>
      </c>
      <c r="H22" s="22">
        <f t="shared" si="14"/>
        <v>0</v>
      </c>
      <c r="I22" s="22">
        <f t="shared" si="14"/>
        <v>0</v>
      </c>
      <c r="J22" s="22">
        <f t="shared" si="14"/>
        <v>0</v>
      </c>
      <c r="K22" s="22">
        <f t="shared" si="14"/>
        <v>0</v>
      </c>
      <c r="L22" s="22">
        <f t="shared" si="14"/>
        <v>0</v>
      </c>
      <c r="M22" s="22">
        <f t="shared" si="14"/>
        <v>0</v>
      </c>
      <c r="N22" s="22">
        <f t="shared" si="14"/>
        <v>0</v>
      </c>
      <c r="O22" s="22">
        <f t="shared" si="14"/>
        <v>0</v>
      </c>
      <c r="P22" s="22">
        <f t="shared" si="14"/>
        <v>0</v>
      </c>
      <c r="Q22" s="22">
        <f t="shared" si="14"/>
        <v>0</v>
      </c>
      <c r="R22" s="22">
        <f t="shared" si="14"/>
        <v>0</v>
      </c>
      <c r="S22" s="22">
        <f t="shared" si="14"/>
        <v>0</v>
      </c>
      <c r="T22" s="22">
        <f t="shared" si="14"/>
        <v>0</v>
      </c>
      <c r="U22" s="22">
        <f t="shared" si="14"/>
        <v>0</v>
      </c>
      <c r="V22" s="22">
        <f t="shared" si="14"/>
        <v>0</v>
      </c>
      <c r="W22" s="22">
        <f t="shared" si="14"/>
        <v>0</v>
      </c>
      <c r="X22" s="22">
        <f t="shared" si="14"/>
        <v>0</v>
      </c>
      <c r="Y22" s="22">
        <f t="shared" si="14"/>
        <v>0</v>
      </c>
      <c r="Z22" s="22">
        <f t="shared" si="14"/>
        <v>0</v>
      </c>
      <c r="AA22" s="22">
        <f t="shared" si="14"/>
        <v>0</v>
      </c>
      <c r="AB22" s="22">
        <f t="shared" si="14"/>
        <v>0</v>
      </c>
      <c r="AC22" s="22">
        <f t="shared" si="14"/>
        <v>0</v>
      </c>
      <c r="AD22" s="22">
        <f t="shared" si="14"/>
        <v>0</v>
      </c>
      <c r="AE22" s="22">
        <f t="shared" si="14"/>
        <v>0</v>
      </c>
      <c r="AF22" s="22">
        <f t="shared" si="14"/>
        <v>0</v>
      </c>
      <c r="AG22" s="22">
        <f t="shared" si="14"/>
        <v>0</v>
      </c>
    </row>
    <row r="23" spans="1:33" s="255" customFormat="1">
      <c r="A23" s="114" t="s">
        <v>417</v>
      </c>
      <c r="B23" s="87">
        <f>IFERROR((B20-B22)/B20,"")</f>
        <v>1</v>
      </c>
      <c r="C23" s="88" t="str">
        <f>IFERROR((C20-C22)/C20,"")</f>
        <v/>
      </c>
      <c r="D23" s="88" t="str">
        <f t="shared" ref="D23:AG23" si="15">IFERROR((D20-D22)/D20,"")</f>
        <v/>
      </c>
      <c r="E23" s="88">
        <f t="shared" si="15"/>
        <v>1</v>
      </c>
      <c r="F23" s="88">
        <f t="shared" si="15"/>
        <v>1</v>
      </c>
      <c r="G23" s="88">
        <f t="shared" si="15"/>
        <v>1</v>
      </c>
      <c r="H23" s="88">
        <f t="shared" si="15"/>
        <v>1</v>
      </c>
      <c r="I23" s="88">
        <f t="shared" si="15"/>
        <v>1</v>
      </c>
      <c r="J23" s="88" t="str">
        <f t="shared" si="15"/>
        <v/>
      </c>
      <c r="K23" s="88" t="str">
        <f t="shared" si="15"/>
        <v/>
      </c>
      <c r="L23" s="88">
        <f t="shared" si="15"/>
        <v>1</v>
      </c>
      <c r="M23" s="88">
        <f t="shared" si="15"/>
        <v>1</v>
      </c>
      <c r="N23" s="88">
        <f t="shared" si="15"/>
        <v>1</v>
      </c>
      <c r="O23" s="88">
        <f t="shared" si="15"/>
        <v>1</v>
      </c>
      <c r="P23" s="88">
        <f t="shared" si="15"/>
        <v>1</v>
      </c>
      <c r="Q23" s="88" t="str">
        <f t="shared" si="15"/>
        <v/>
      </c>
      <c r="R23" s="88" t="str">
        <f t="shared" si="15"/>
        <v/>
      </c>
      <c r="S23" s="88">
        <f t="shared" si="15"/>
        <v>1</v>
      </c>
      <c r="T23" s="88">
        <f t="shared" si="15"/>
        <v>1</v>
      </c>
      <c r="U23" s="88">
        <f t="shared" si="15"/>
        <v>1</v>
      </c>
      <c r="V23" s="88">
        <f t="shared" si="15"/>
        <v>1</v>
      </c>
      <c r="W23" s="88">
        <f t="shared" si="15"/>
        <v>1</v>
      </c>
      <c r="X23" s="88" t="str">
        <f t="shared" si="15"/>
        <v/>
      </c>
      <c r="Y23" s="88" t="str">
        <f t="shared" si="15"/>
        <v/>
      </c>
      <c r="Z23" s="88">
        <f t="shared" si="15"/>
        <v>1</v>
      </c>
      <c r="AA23" s="88">
        <f t="shared" si="15"/>
        <v>1</v>
      </c>
      <c r="AB23" s="88">
        <f t="shared" si="15"/>
        <v>1</v>
      </c>
      <c r="AC23" s="88">
        <f t="shared" si="15"/>
        <v>1</v>
      </c>
      <c r="AD23" s="88">
        <f t="shared" si="15"/>
        <v>1</v>
      </c>
      <c r="AE23" s="88" t="str">
        <f t="shared" si="15"/>
        <v/>
      </c>
      <c r="AF23" s="88" t="str">
        <f t="shared" si="15"/>
        <v/>
      </c>
      <c r="AG23" s="88" t="str">
        <f t="shared" si="15"/>
        <v/>
      </c>
    </row>
    <row r="24" spans="1:33" s="39" customFormat="1">
      <c r="A24" s="257"/>
      <c r="B24" s="258"/>
      <c r="C24" s="258"/>
      <c r="D24" s="258"/>
      <c r="E24" s="258"/>
      <c r="F24" s="258"/>
      <c r="G24" s="258"/>
      <c r="H24" s="258"/>
      <c r="I24" s="258"/>
      <c r="J24" s="258"/>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row>
    <row r="25" spans="1:33" s="39" customFormat="1" ht="21">
      <c r="A25" s="404" t="s">
        <v>891</v>
      </c>
      <c r="B25" s="404"/>
      <c r="C25" s="404"/>
      <c r="D25" s="404"/>
      <c r="E25" s="404"/>
      <c r="F25" s="404"/>
      <c r="G25" s="404"/>
      <c r="H25" s="404"/>
      <c r="I25" s="404"/>
      <c r="J25" s="404"/>
      <c r="K25" s="404"/>
      <c r="L25" s="404"/>
      <c r="M25" s="404"/>
      <c r="N25" s="404"/>
      <c r="O25" s="404"/>
      <c r="P25" s="404"/>
      <c r="Q25" s="404"/>
      <c r="R25" s="404"/>
      <c r="S25" s="404"/>
      <c r="T25" s="404"/>
      <c r="U25" s="404"/>
      <c r="V25" s="404"/>
      <c r="W25" s="404"/>
      <c r="X25" s="404"/>
      <c r="Y25" s="404"/>
      <c r="Z25" s="404"/>
      <c r="AA25" s="404"/>
      <c r="AB25" s="404"/>
      <c r="AC25" s="404"/>
      <c r="AD25" s="404"/>
      <c r="AE25" s="404"/>
      <c r="AF25" s="404"/>
      <c r="AG25" s="404"/>
    </row>
    <row r="26" spans="1:33" s="39" customFormat="1">
      <c r="A26" s="257"/>
      <c r="B26" s="258"/>
      <c r="C26" s="258"/>
      <c r="D26" s="258"/>
      <c r="E26" s="258"/>
      <c r="F26" s="258"/>
      <c r="G26" s="258"/>
      <c r="H26" s="258"/>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row>
    <row r="27" spans="1:33" ht="18.75">
      <c r="A27" s="406" t="s">
        <v>892</v>
      </c>
      <c r="B27" s="406"/>
      <c r="C27" s="406"/>
      <c r="D27" s="406"/>
      <c r="E27" s="406"/>
      <c r="F27" s="406"/>
      <c r="G27" s="406"/>
      <c r="H27" s="406"/>
      <c r="I27" s="406"/>
      <c r="J27" s="406"/>
      <c r="K27" s="406"/>
      <c r="L27" s="406"/>
      <c r="M27" s="406"/>
      <c r="N27" s="406"/>
      <c r="O27" s="406"/>
      <c r="P27" s="406"/>
      <c r="Q27" s="406"/>
      <c r="R27" s="406"/>
      <c r="S27" s="406"/>
      <c r="T27" s="406"/>
      <c r="U27" s="406"/>
      <c r="V27" s="406"/>
      <c r="W27" s="406"/>
      <c r="X27" s="406"/>
      <c r="Y27" s="406"/>
      <c r="Z27" s="406"/>
      <c r="AA27" s="406"/>
      <c r="AB27" s="406"/>
      <c r="AC27" s="406"/>
      <c r="AD27" s="406"/>
      <c r="AE27" s="406"/>
      <c r="AF27" s="406"/>
      <c r="AG27" s="406"/>
    </row>
    <row r="28" spans="1:33" ht="15.75">
      <c r="A28" s="407" t="s">
        <v>35</v>
      </c>
      <c r="B28" s="407"/>
      <c r="C28" s="407"/>
      <c r="D28" s="407"/>
      <c r="E28" s="407"/>
      <c r="F28" s="407"/>
      <c r="G28" s="407"/>
      <c r="H28" s="407"/>
      <c r="I28" s="407"/>
      <c r="J28" s="407"/>
      <c r="K28" s="407"/>
      <c r="L28" s="407"/>
      <c r="M28" s="407"/>
      <c r="N28" s="407"/>
      <c r="O28" s="407"/>
      <c r="P28" s="407"/>
      <c r="Q28" s="407"/>
      <c r="R28" s="407"/>
      <c r="S28" s="407"/>
      <c r="T28" s="407"/>
      <c r="U28" s="407"/>
      <c r="V28" s="407"/>
      <c r="W28" s="407"/>
      <c r="X28" s="407"/>
      <c r="Y28" s="407"/>
      <c r="Z28" s="407"/>
      <c r="AA28" s="407"/>
      <c r="AB28" s="407"/>
      <c r="AC28" s="407"/>
      <c r="AD28" s="407"/>
      <c r="AE28" s="407"/>
      <c r="AF28" s="407"/>
      <c r="AG28" s="407"/>
    </row>
    <row r="29" spans="1:33" s="39" customFormat="1">
      <c r="A29" s="259" t="s">
        <v>143</v>
      </c>
      <c r="B29" s="260" t="s">
        <v>13</v>
      </c>
      <c r="C29" s="261">
        <f>$C$5</f>
        <v>45444</v>
      </c>
      <c r="D29" s="261">
        <f>C29+1</f>
        <v>45445</v>
      </c>
      <c r="E29" s="261">
        <f t="shared" ref="E29:AG29" si="16">D29+1</f>
        <v>45446</v>
      </c>
      <c r="F29" s="261">
        <f t="shared" si="16"/>
        <v>45447</v>
      </c>
      <c r="G29" s="261">
        <f t="shared" si="16"/>
        <v>45448</v>
      </c>
      <c r="H29" s="261">
        <f t="shared" si="16"/>
        <v>45449</v>
      </c>
      <c r="I29" s="261">
        <f t="shared" si="16"/>
        <v>45450</v>
      </c>
      <c r="J29" s="261">
        <f t="shared" si="16"/>
        <v>45451</v>
      </c>
      <c r="K29" s="261">
        <f t="shared" si="16"/>
        <v>45452</v>
      </c>
      <c r="L29" s="261">
        <f t="shared" si="16"/>
        <v>45453</v>
      </c>
      <c r="M29" s="261">
        <f t="shared" si="16"/>
        <v>45454</v>
      </c>
      <c r="N29" s="261">
        <f t="shared" si="16"/>
        <v>45455</v>
      </c>
      <c r="O29" s="261">
        <f t="shared" si="16"/>
        <v>45456</v>
      </c>
      <c r="P29" s="261">
        <f t="shared" si="16"/>
        <v>45457</v>
      </c>
      <c r="Q29" s="261">
        <f t="shared" si="16"/>
        <v>45458</v>
      </c>
      <c r="R29" s="261">
        <f t="shared" si="16"/>
        <v>45459</v>
      </c>
      <c r="S29" s="261">
        <f t="shared" si="16"/>
        <v>45460</v>
      </c>
      <c r="T29" s="261">
        <f t="shared" si="16"/>
        <v>45461</v>
      </c>
      <c r="U29" s="261">
        <f t="shared" si="16"/>
        <v>45462</v>
      </c>
      <c r="V29" s="261">
        <f t="shared" si="16"/>
        <v>45463</v>
      </c>
      <c r="W29" s="261">
        <f t="shared" si="16"/>
        <v>45464</v>
      </c>
      <c r="X29" s="261">
        <f t="shared" si="16"/>
        <v>45465</v>
      </c>
      <c r="Y29" s="261">
        <f t="shared" si="16"/>
        <v>45466</v>
      </c>
      <c r="Z29" s="261">
        <f t="shared" si="16"/>
        <v>45467</v>
      </c>
      <c r="AA29" s="261">
        <f t="shared" si="16"/>
        <v>45468</v>
      </c>
      <c r="AB29" s="261">
        <f t="shared" si="16"/>
        <v>45469</v>
      </c>
      <c r="AC29" s="261">
        <f t="shared" si="16"/>
        <v>45470</v>
      </c>
      <c r="AD29" s="261">
        <f t="shared" si="16"/>
        <v>45471</v>
      </c>
      <c r="AE29" s="261">
        <f t="shared" si="16"/>
        <v>45472</v>
      </c>
      <c r="AF29" s="261">
        <f t="shared" si="16"/>
        <v>45473</v>
      </c>
      <c r="AG29" s="261">
        <f t="shared" si="16"/>
        <v>45474</v>
      </c>
    </row>
    <row r="30" spans="1:33" s="39" customFormat="1">
      <c r="A30" s="12" t="s">
        <v>177</v>
      </c>
      <c r="B30" s="22">
        <f t="shared" ref="B30:B31" si="17">SUM(C30:AG30)</f>
        <v>390</v>
      </c>
      <c r="C30" s="22"/>
      <c r="D30" s="22"/>
      <c r="E30" s="22">
        <v>102</v>
      </c>
      <c r="F30" s="22">
        <v>48</v>
      </c>
      <c r="G30" s="22">
        <v>24</v>
      </c>
      <c r="H30" s="22">
        <v>36</v>
      </c>
      <c r="I30" s="22">
        <v>42</v>
      </c>
      <c r="J30" s="22"/>
      <c r="K30" s="22"/>
      <c r="L30" s="22">
        <v>54</v>
      </c>
      <c r="M30" s="22">
        <v>31</v>
      </c>
      <c r="N30" s="22">
        <v>38</v>
      </c>
      <c r="O30" s="22">
        <v>15</v>
      </c>
      <c r="P30" s="22"/>
      <c r="Q30" s="22"/>
      <c r="R30" s="22"/>
      <c r="S30" s="22"/>
      <c r="T30" s="22"/>
      <c r="U30" s="22"/>
      <c r="V30" s="22"/>
      <c r="W30" s="22"/>
      <c r="X30" s="22"/>
      <c r="Y30" s="5"/>
      <c r="Z30" s="22"/>
      <c r="AA30" s="22"/>
      <c r="AB30" s="22"/>
      <c r="AC30" s="22"/>
      <c r="AD30" s="22"/>
      <c r="AE30" s="22"/>
      <c r="AF30" s="22"/>
      <c r="AG30" s="22"/>
    </row>
    <row r="31" spans="1:33" s="39" customFormat="1">
      <c r="A31" s="12" t="s">
        <v>178</v>
      </c>
      <c r="B31" s="22">
        <f t="shared" si="17"/>
        <v>18</v>
      </c>
      <c r="C31" s="22"/>
      <c r="D31" s="22"/>
      <c r="E31" s="22">
        <v>5</v>
      </c>
      <c r="F31" s="22">
        <v>1</v>
      </c>
      <c r="G31" s="22">
        <v>3</v>
      </c>
      <c r="H31" s="22"/>
      <c r="I31" s="22">
        <v>2</v>
      </c>
      <c r="J31" s="22"/>
      <c r="K31" s="22"/>
      <c r="L31" s="22">
        <v>3</v>
      </c>
      <c r="M31" s="22"/>
      <c r="N31" s="22">
        <v>2</v>
      </c>
      <c r="O31" s="22">
        <v>2</v>
      </c>
      <c r="P31" s="22"/>
      <c r="Q31" s="22"/>
      <c r="R31" s="22"/>
      <c r="S31" s="22"/>
      <c r="T31" s="22"/>
      <c r="U31" s="22"/>
      <c r="V31" s="22"/>
      <c r="W31" s="22"/>
      <c r="X31" s="22"/>
      <c r="Y31" s="5"/>
      <c r="Z31" s="22"/>
      <c r="AA31" s="22"/>
      <c r="AB31" s="22"/>
      <c r="AC31" s="22"/>
      <c r="AD31" s="22"/>
      <c r="AE31" s="22"/>
      <c r="AF31" s="22"/>
      <c r="AG31" s="22"/>
    </row>
    <row r="32" spans="1:33" s="39" customFormat="1">
      <c r="A32" s="259" t="s">
        <v>503</v>
      </c>
      <c r="B32" s="262">
        <f t="shared" ref="B32:AG32" si="18">SUM(B30:B31)</f>
        <v>408</v>
      </c>
      <c r="C32" s="262">
        <f t="shared" si="18"/>
        <v>0</v>
      </c>
      <c r="D32" s="262">
        <f t="shared" si="18"/>
        <v>0</v>
      </c>
      <c r="E32" s="262">
        <f t="shared" si="18"/>
        <v>107</v>
      </c>
      <c r="F32" s="262">
        <f t="shared" si="18"/>
        <v>49</v>
      </c>
      <c r="G32" s="262">
        <f t="shared" si="18"/>
        <v>27</v>
      </c>
      <c r="H32" s="262">
        <f t="shared" si="18"/>
        <v>36</v>
      </c>
      <c r="I32" s="262">
        <f t="shared" si="18"/>
        <v>44</v>
      </c>
      <c r="J32" s="262">
        <f t="shared" si="18"/>
        <v>0</v>
      </c>
      <c r="K32" s="262">
        <f t="shared" si="18"/>
        <v>0</v>
      </c>
      <c r="L32" s="262">
        <f t="shared" si="18"/>
        <v>57</v>
      </c>
      <c r="M32" s="262">
        <f t="shared" si="18"/>
        <v>31</v>
      </c>
      <c r="N32" s="262">
        <f t="shared" si="18"/>
        <v>40</v>
      </c>
      <c r="O32" s="262">
        <f t="shared" si="18"/>
        <v>17</v>
      </c>
      <c r="P32" s="262">
        <f t="shared" si="18"/>
        <v>0</v>
      </c>
      <c r="Q32" s="262">
        <f t="shared" si="18"/>
        <v>0</v>
      </c>
      <c r="R32" s="262">
        <f t="shared" si="18"/>
        <v>0</v>
      </c>
      <c r="S32" s="262">
        <f t="shared" si="18"/>
        <v>0</v>
      </c>
      <c r="T32" s="262">
        <f t="shared" si="18"/>
        <v>0</v>
      </c>
      <c r="U32" s="262">
        <f t="shared" si="18"/>
        <v>0</v>
      </c>
      <c r="V32" s="262">
        <f t="shared" si="18"/>
        <v>0</v>
      </c>
      <c r="W32" s="262">
        <f t="shared" si="18"/>
        <v>0</v>
      </c>
      <c r="X32" s="262">
        <f t="shared" si="18"/>
        <v>0</v>
      </c>
      <c r="Y32" s="262">
        <f t="shared" si="18"/>
        <v>0</v>
      </c>
      <c r="Z32" s="262">
        <f t="shared" si="18"/>
        <v>0</v>
      </c>
      <c r="AA32" s="262">
        <f t="shared" si="18"/>
        <v>0</v>
      </c>
      <c r="AB32" s="262">
        <f t="shared" si="18"/>
        <v>0</v>
      </c>
      <c r="AC32" s="262">
        <f t="shared" si="18"/>
        <v>0</v>
      </c>
      <c r="AD32" s="262">
        <f t="shared" si="18"/>
        <v>0</v>
      </c>
      <c r="AE32" s="262">
        <f t="shared" si="18"/>
        <v>0</v>
      </c>
      <c r="AF32" s="262">
        <f t="shared" si="18"/>
        <v>0</v>
      </c>
      <c r="AG32" s="262">
        <f t="shared" si="18"/>
        <v>0</v>
      </c>
    </row>
    <row r="33" spans="1:33" s="39" customFormat="1" ht="15.75">
      <c r="A33" s="408" t="s">
        <v>880</v>
      </c>
      <c r="B33" s="408"/>
      <c r="C33" s="408"/>
      <c r="D33" s="408"/>
      <c r="E33" s="408"/>
      <c r="F33" s="408"/>
      <c r="G33" s="408"/>
      <c r="H33" s="408"/>
      <c r="I33" s="408"/>
      <c r="J33" s="408"/>
      <c r="K33" s="408"/>
      <c r="L33" s="408"/>
      <c r="M33" s="408"/>
      <c r="N33" s="408"/>
      <c r="O33" s="408"/>
      <c r="P33" s="408"/>
      <c r="Q33" s="408"/>
      <c r="R33" s="408"/>
      <c r="S33" s="408"/>
      <c r="T33" s="408"/>
      <c r="U33" s="408"/>
      <c r="V33" s="408"/>
      <c r="W33" s="408"/>
      <c r="X33" s="408"/>
      <c r="Y33" s="408"/>
      <c r="Z33" s="408"/>
      <c r="AA33" s="408"/>
      <c r="AB33" s="408"/>
      <c r="AC33" s="408"/>
      <c r="AD33" s="408"/>
      <c r="AE33" s="408"/>
      <c r="AF33" s="408"/>
      <c r="AG33" s="408"/>
    </row>
    <row r="34" spans="1:33" s="39" customFormat="1">
      <c r="A34" s="263" t="s">
        <v>143</v>
      </c>
      <c r="B34" s="264" t="s">
        <v>13</v>
      </c>
      <c r="C34" s="265">
        <f>$C$5</f>
        <v>45444</v>
      </c>
      <c r="D34" s="265">
        <f>C34+1</f>
        <v>45445</v>
      </c>
      <c r="E34" s="265">
        <f t="shared" ref="E34:AG34" si="19">D34+1</f>
        <v>45446</v>
      </c>
      <c r="F34" s="265">
        <f t="shared" si="19"/>
        <v>45447</v>
      </c>
      <c r="G34" s="265">
        <f t="shared" si="19"/>
        <v>45448</v>
      </c>
      <c r="H34" s="265">
        <f t="shared" si="19"/>
        <v>45449</v>
      </c>
      <c r="I34" s="265">
        <f t="shared" si="19"/>
        <v>45450</v>
      </c>
      <c r="J34" s="265">
        <f t="shared" si="19"/>
        <v>45451</v>
      </c>
      <c r="K34" s="265">
        <f t="shared" si="19"/>
        <v>45452</v>
      </c>
      <c r="L34" s="265">
        <f t="shared" si="19"/>
        <v>45453</v>
      </c>
      <c r="M34" s="265">
        <f t="shared" si="19"/>
        <v>45454</v>
      </c>
      <c r="N34" s="265">
        <f t="shared" si="19"/>
        <v>45455</v>
      </c>
      <c r="O34" s="265">
        <f t="shared" si="19"/>
        <v>45456</v>
      </c>
      <c r="P34" s="265">
        <f t="shared" si="19"/>
        <v>45457</v>
      </c>
      <c r="Q34" s="265">
        <f t="shared" si="19"/>
        <v>45458</v>
      </c>
      <c r="R34" s="265">
        <f t="shared" si="19"/>
        <v>45459</v>
      </c>
      <c r="S34" s="265">
        <f t="shared" si="19"/>
        <v>45460</v>
      </c>
      <c r="T34" s="265">
        <f t="shared" si="19"/>
        <v>45461</v>
      </c>
      <c r="U34" s="265">
        <f t="shared" si="19"/>
        <v>45462</v>
      </c>
      <c r="V34" s="265">
        <f t="shared" si="19"/>
        <v>45463</v>
      </c>
      <c r="W34" s="265">
        <f t="shared" si="19"/>
        <v>45464</v>
      </c>
      <c r="X34" s="265">
        <f t="shared" si="19"/>
        <v>45465</v>
      </c>
      <c r="Y34" s="265">
        <f t="shared" si="19"/>
        <v>45466</v>
      </c>
      <c r="Z34" s="265">
        <f t="shared" si="19"/>
        <v>45467</v>
      </c>
      <c r="AA34" s="265">
        <f t="shared" si="19"/>
        <v>45468</v>
      </c>
      <c r="AB34" s="265">
        <f t="shared" si="19"/>
        <v>45469</v>
      </c>
      <c r="AC34" s="265">
        <f t="shared" si="19"/>
        <v>45470</v>
      </c>
      <c r="AD34" s="265">
        <f t="shared" si="19"/>
        <v>45471</v>
      </c>
      <c r="AE34" s="265">
        <f t="shared" si="19"/>
        <v>45472</v>
      </c>
      <c r="AF34" s="265">
        <f t="shared" si="19"/>
        <v>45473</v>
      </c>
      <c r="AG34" s="265">
        <f t="shared" si="19"/>
        <v>45474</v>
      </c>
    </row>
    <row r="35" spans="1:33" s="39" customFormat="1">
      <c r="A35" s="12" t="s">
        <v>881</v>
      </c>
      <c r="B35" s="22">
        <f t="shared" ref="B35" si="20">SUM(C35:AG35)</f>
        <v>0</v>
      </c>
      <c r="C35" s="22"/>
      <c r="D35" s="22"/>
      <c r="E35" s="2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row>
    <row r="36" spans="1:33" s="39" customFormat="1">
      <c r="A36" s="263" t="s">
        <v>9</v>
      </c>
      <c r="B36" s="266">
        <f t="shared" ref="B36:AG36" si="21">SUM(B35:B35)</f>
        <v>0</v>
      </c>
      <c r="C36" s="266">
        <f t="shared" si="21"/>
        <v>0</v>
      </c>
      <c r="D36" s="266">
        <f t="shared" si="21"/>
        <v>0</v>
      </c>
      <c r="E36" s="266">
        <f t="shared" si="21"/>
        <v>0</v>
      </c>
      <c r="F36" s="266">
        <f t="shared" si="21"/>
        <v>0</v>
      </c>
      <c r="G36" s="266">
        <f t="shared" si="21"/>
        <v>0</v>
      </c>
      <c r="H36" s="266">
        <f t="shared" si="21"/>
        <v>0</v>
      </c>
      <c r="I36" s="266">
        <f t="shared" si="21"/>
        <v>0</v>
      </c>
      <c r="J36" s="266">
        <f t="shared" si="21"/>
        <v>0</v>
      </c>
      <c r="K36" s="266">
        <f t="shared" si="21"/>
        <v>0</v>
      </c>
      <c r="L36" s="266">
        <f t="shared" si="21"/>
        <v>0</v>
      </c>
      <c r="M36" s="266">
        <f t="shared" si="21"/>
        <v>0</v>
      </c>
      <c r="N36" s="266">
        <f t="shared" si="21"/>
        <v>0</v>
      </c>
      <c r="O36" s="266">
        <f t="shared" si="21"/>
        <v>0</v>
      </c>
      <c r="P36" s="266">
        <f t="shared" si="21"/>
        <v>0</v>
      </c>
      <c r="Q36" s="266">
        <f t="shared" si="21"/>
        <v>0</v>
      </c>
      <c r="R36" s="266">
        <f t="shared" si="21"/>
        <v>0</v>
      </c>
      <c r="S36" s="266">
        <f t="shared" si="21"/>
        <v>0</v>
      </c>
      <c r="T36" s="266">
        <f t="shared" si="21"/>
        <v>0</v>
      </c>
      <c r="U36" s="266">
        <f t="shared" si="21"/>
        <v>0</v>
      </c>
      <c r="V36" s="266">
        <f t="shared" si="21"/>
        <v>0</v>
      </c>
      <c r="W36" s="266">
        <f t="shared" si="21"/>
        <v>0</v>
      </c>
      <c r="X36" s="266">
        <f t="shared" si="21"/>
        <v>0</v>
      </c>
      <c r="Y36" s="266">
        <f t="shared" si="21"/>
        <v>0</v>
      </c>
      <c r="Z36" s="266">
        <f t="shared" si="21"/>
        <v>0</v>
      </c>
      <c r="AA36" s="266">
        <f t="shared" si="21"/>
        <v>0</v>
      </c>
      <c r="AB36" s="266">
        <f t="shared" si="21"/>
        <v>0</v>
      </c>
      <c r="AC36" s="266">
        <f t="shared" si="21"/>
        <v>0</v>
      </c>
      <c r="AD36" s="266">
        <f t="shared" si="21"/>
        <v>0</v>
      </c>
      <c r="AE36" s="266">
        <f t="shared" si="21"/>
        <v>0</v>
      </c>
      <c r="AF36" s="266">
        <f t="shared" si="21"/>
        <v>0</v>
      </c>
      <c r="AG36" s="266">
        <f t="shared" si="21"/>
        <v>0</v>
      </c>
    </row>
    <row r="37" spans="1:33" s="39" customFormat="1" ht="15.75">
      <c r="A37" s="403" t="s">
        <v>882</v>
      </c>
      <c r="B37" s="403"/>
      <c r="C37" s="403"/>
      <c r="D37" s="403"/>
      <c r="E37" s="403"/>
      <c r="F37" s="403"/>
      <c r="G37" s="403"/>
      <c r="H37" s="403"/>
      <c r="I37" s="403"/>
      <c r="J37" s="403"/>
      <c r="K37" s="403"/>
      <c r="L37" s="403"/>
      <c r="M37" s="403"/>
      <c r="N37" s="403"/>
      <c r="O37" s="403"/>
      <c r="P37" s="403"/>
      <c r="Q37" s="403"/>
      <c r="R37" s="403"/>
      <c r="S37" s="403"/>
      <c r="T37" s="403"/>
      <c r="U37" s="403"/>
      <c r="V37" s="403"/>
      <c r="W37" s="403"/>
      <c r="X37" s="403"/>
      <c r="Y37" s="403"/>
      <c r="Z37" s="403"/>
      <c r="AA37" s="403"/>
      <c r="AB37" s="403"/>
      <c r="AC37" s="403"/>
      <c r="AD37" s="403"/>
      <c r="AE37" s="403"/>
      <c r="AF37" s="403"/>
      <c r="AG37" s="403"/>
    </row>
    <row r="38" spans="1:33" s="39" customFormat="1">
      <c r="A38" s="263" t="s">
        <v>883</v>
      </c>
      <c r="B38" s="264" t="s">
        <v>13</v>
      </c>
      <c r="C38" s="265">
        <f>$C$5</f>
        <v>45444</v>
      </c>
      <c r="D38" s="265">
        <f>C38+1</f>
        <v>45445</v>
      </c>
      <c r="E38" s="265">
        <f t="shared" ref="E38:AG38" si="22">D38+1</f>
        <v>45446</v>
      </c>
      <c r="F38" s="265">
        <f t="shared" si="22"/>
        <v>45447</v>
      </c>
      <c r="G38" s="265">
        <f t="shared" si="22"/>
        <v>45448</v>
      </c>
      <c r="H38" s="265">
        <f t="shared" si="22"/>
        <v>45449</v>
      </c>
      <c r="I38" s="265">
        <f t="shared" si="22"/>
        <v>45450</v>
      </c>
      <c r="J38" s="265">
        <f t="shared" si="22"/>
        <v>45451</v>
      </c>
      <c r="K38" s="265">
        <f t="shared" si="22"/>
        <v>45452</v>
      </c>
      <c r="L38" s="265">
        <f t="shared" si="22"/>
        <v>45453</v>
      </c>
      <c r="M38" s="265">
        <f t="shared" si="22"/>
        <v>45454</v>
      </c>
      <c r="N38" s="265">
        <f t="shared" si="22"/>
        <v>45455</v>
      </c>
      <c r="O38" s="265">
        <f t="shared" si="22"/>
        <v>45456</v>
      </c>
      <c r="P38" s="265">
        <f t="shared" si="22"/>
        <v>45457</v>
      </c>
      <c r="Q38" s="265">
        <f t="shared" si="22"/>
        <v>45458</v>
      </c>
      <c r="R38" s="265">
        <f t="shared" si="22"/>
        <v>45459</v>
      </c>
      <c r="S38" s="265">
        <f t="shared" si="22"/>
        <v>45460</v>
      </c>
      <c r="T38" s="265">
        <f t="shared" si="22"/>
        <v>45461</v>
      </c>
      <c r="U38" s="265">
        <f t="shared" si="22"/>
        <v>45462</v>
      </c>
      <c r="V38" s="265">
        <f t="shared" si="22"/>
        <v>45463</v>
      </c>
      <c r="W38" s="265">
        <f t="shared" si="22"/>
        <v>45464</v>
      </c>
      <c r="X38" s="265">
        <f t="shared" si="22"/>
        <v>45465</v>
      </c>
      <c r="Y38" s="265">
        <f t="shared" si="22"/>
        <v>45466</v>
      </c>
      <c r="Z38" s="265">
        <f t="shared" si="22"/>
        <v>45467</v>
      </c>
      <c r="AA38" s="265">
        <f t="shared" si="22"/>
        <v>45468</v>
      </c>
      <c r="AB38" s="265">
        <f t="shared" si="22"/>
        <v>45469</v>
      </c>
      <c r="AC38" s="265">
        <f t="shared" si="22"/>
        <v>45470</v>
      </c>
      <c r="AD38" s="265">
        <f t="shared" si="22"/>
        <v>45471</v>
      </c>
      <c r="AE38" s="265">
        <f t="shared" si="22"/>
        <v>45472</v>
      </c>
      <c r="AF38" s="265">
        <f t="shared" si="22"/>
        <v>45473</v>
      </c>
      <c r="AG38" s="265">
        <f t="shared" si="22"/>
        <v>45474</v>
      </c>
    </row>
    <row r="39" spans="1:33" s="39" customFormat="1">
      <c r="A39" s="256" t="s">
        <v>884</v>
      </c>
      <c r="B39" s="22">
        <f>SUM(C39:AG39)</f>
        <v>0</v>
      </c>
      <c r="C39" s="22"/>
      <c r="D39" s="22"/>
      <c r="E39" s="22"/>
      <c r="F39" s="22"/>
      <c r="G39" s="22"/>
      <c r="H39" s="22"/>
      <c r="I39" s="22"/>
      <c r="J39" s="22"/>
      <c r="K39" s="22"/>
      <c r="L39" s="22"/>
      <c r="M39" s="22"/>
      <c r="N39" s="22"/>
      <c r="O39" s="22"/>
      <c r="P39" s="22"/>
      <c r="Q39" s="22"/>
      <c r="R39" s="22"/>
      <c r="S39" s="22"/>
      <c r="T39" s="22"/>
      <c r="U39" s="22"/>
      <c r="V39" s="22"/>
      <c r="W39" s="22"/>
      <c r="X39" s="22"/>
      <c r="Y39" s="22"/>
      <c r="Z39" s="22"/>
      <c r="AA39" s="22"/>
      <c r="AB39" s="22"/>
      <c r="AC39" s="22"/>
      <c r="AD39" s="22"/>
      <c r="AE39" s="22"/>
      <c r="AF39" s="22"/>
      <c r="AG39" s="22"/>
    </row>
    <row r="40" spans="1:33" s="39" customFormat="1">
      <c r="A40" s="256" t="s">
        <v>885</v>
      </c>
      <c r="B40" s="22">
        <f>SUM(C40:AG40)</f>
        <v>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row>
    <row r="41" spans="1:33" s="39" customFormat="1">
      <c r="A41" s="263" t="s">
        <v>9</v>
      </c>
      <c r="B41" s="266">
        <f>SUM(B36:B40)</f>
        <v>0</v>
      </c>
      <c r="C41" s="266">
        <f t="shared" ref="C41:AG41" si="23">SUM(C39:C40)</f>
        <v>0</v>
      </c>
      <c r="D41" s="266">
        <f t="shared" si="23"/>
        <v>0</v>
      </c>
      <c r="E41" s="266">
        <f t="shared" si="23"/>
        <v>0</v>
      </c>
      <c r="F41" s="266">
        <f t="shared" si="23"/>
        <v>0</v>
      </c>
      <c r="G41" s="266">
        <f t="shared" si="23"/>
        <v>0</v>
      </c>
      <c r="H41" s="266">
        <f t="shared" si="23"/>
        <v>0</v>
      </c>
      <c r="I41" s="266">
        <f t="shared" si="23"/>
        <v>0</v>
      </c>
      <c r="J41" s="266">
        <f t="shared" si="23"/>
        <v>0</v>
      </c>
      <c r="K41" s="266">
        <f t="shared" si="23"/>
        <v>0</v>
      </c>
      <c r="L41" s="266">
        <f t="shared" si="23"/>
        <v>0</v>
      </c>
      <c r="M41" s="266">
        <f t="shared" si="23"/>
        <v>0</v>
      </c>
      <c r="N41" s="266">
        <f t="shared" si="23"/>
        <v>0</v>
      </c>
      <c r="O41" s="266">
        <f t="shared" si="23"/>
        <v>0</v>
      </c>
      <c r="P41" s="266">
        <f t="shared" si="23"/>
        <v>0</v>
      </c>
      <c r="Q41" s="266">
        <f t="shared" si="23"/>
        <v>0</v>
      </c>
      <c r="R41" s="266">
        <f t="shared" si="23"/>
        <v>0</v>
      </c>
      <c r="S41" s="266">
        <f t="shared" si="23"/>
        <v>0</v>
      </c>
      <c r="T41" s="266">
        <f t="shared" si="23"/>
        <v>0</v>
      </c>
      <c r="U41" s="266">
        <f t="shared" si="23"/>
        <v>0</v>
      </c>
      <c r="V41" s="266">
        <f t="shared" si="23"/>
        <v>0</v>
      </c>
      <c r="W41" s="266">
        <f t="shared" si="23"/>
        <v>0</v>
      </c>
      <c r="X41" s="266">
        <f t="shared" si="23"/>
        <v>0</v>
      </c>
      <c r="Y41" s="266">
        <f t="shared" si="23"/>
        <v>0</v>
      </c>
      <c r="Z41" s="266">
        <f t="shared" si="23"/>
        <v>0</v>
      </c>
      <c r="AA41" s="266">
        <f t="shared" si="23"/>
        <v>0</v>
      </c>
      <c r="AB41" s="266">
        <f t="shared" si="23"/>
        <v>0</v>
      </c>
      <c r="AC41" s="266">
        <f t="shared" si="23"/>
        <v>0</v>
      </c>
      <c r="AD41" s="266">
        <f t="shared" si="23"/>
        <v>0</v>
      </c>
      <c r="AE41" s="266">
        <f t="shared" si="23"/>
        <v>0</v>
      </c>
      <c r="AF41" s="266">
        <f t="shared" si="23"/>
        <v>0</v>
      </c>
      <c r="AG41" s="266">
        <f t="shared" si="23"/>
        <v>0</v>
      </c>
    </row>
    <row r="42" spans="1:33" s="39" customFormat="1" ht="15.75">
      <c r="A42" s="403" t="s">
        <v>886</v>
      </c>
      <c r="B42" s="403"/>
      <c r="C42" s="403"/>
      <c r="D42" s="403"/>
      <c r="E42" s="403"/>
      <c r="F42" s="403"/>
      <c r="G42" s="403"/>
      <c r="H42" s="403"/>
      <c r="I42" s="403"/>
      <c r="J42" s="403"/>
      <c r="K42" s="403"/>
      <c r="L42" s="403"/>
      <c r="M42" s="403"/>
      <c r="N42" s="403"/>
      <c r="O42" s="403"/>
      <c r="P42" s="403"/>
      <c r="Q42" s="403"/>
      <c r="R42" s="403"/>
      <c r="S42" s="403"/>
      <c r="T42" s="403"/>
      <c r="U42" s="403"/>
      <c r="V42" s="403"/>
      <c r="W42" s="403"/>
      <c r="X42" s="403"/>
      <c r="Y42" s="403"/>
      <c r="Z42" s="403"/>
      <c r="AA42" s="403"/>
      <c r="AB42" s="403"/>
      <c r="AC42" s="403"/>
      <c r="AD42" s="403"/>
      <c r="AE42" s="403"/>
      <c r="AF42" s="403"/>
      <c r="AG42" s="403"/>
    </row>
    <row r="43" spans="1:33" s="39" customFormat="1">
      <c r="A43" s="263" t="s">
        <v>887</v>
      </c>
      <c r="B43" s="264" t="s">
        <v>13</v>
      </c>
      <c r="C43" s="265">
        <f>$C$5</f>
        <v>45444</v>
      </c>
      <c r="D43" s="265">
        <f>C43+1</f>
        <v>45445</v>
      </c>
      <c r="E43" s="265">
        <f t="shared" ref="E43:AG43" si="24">D43+1</f>
        <v>45446</v>
      </c>
      <c r="F43" s="265">
        <f t="shared" si="24"/>
        <v>45447</v>
      </c>
      <c r="G43" s="265">
        <f t="shared" si="24"/>
        <v>45448</v>
      </c>
      <c r="H43" s="265">
        <f t="shared" si="24"/>
        <v>45449</v>
      </c>
      <c r="I43" s="265">
        <f t="shared" si="24"/>
        <v>45450</v>
      </c>
      <c r="J43" s="265">
        <f t="shared" si="24"/>
        <v>45451</v>
      </c>
      <c r="K43" s="265">
        <f t="shared" si="24"/>
        <v>45452</v>
      </c>
      <c r="L43" s="265">
        <f t="shared" si="24"/>
        <v>45453</v>
      </c>
      <c r="M43" s="265">
        <f t="shared" si="24"/>
        <v>45454</v>
      </c>
      <c r="N43" s="265">
        <f t="shared" si="24"/>
        <v>45455</v>
      </c>
      <c r="O43" s="265">
        <f t="shared" si="24"/>
        <v>45456</v>
      </c>
      <c r="P43" s="265">
        <f t="shared" si="24"/>
        <v>45457</v>
      </c>
      <c r="Q43" s="265">
        <f t="shared" si="24"/>
        <v>45458</v>
      </c>
      <c r="R43" s="265">
        <f t="shared" si="24"/>
        <v>45459</v>
      </c>
      <c r="S43" s="265">
        <f t="shared" si="24"/>
        <v>45460</v>
      </c>
      <c r="T43" s="265">
        <f t="shared" si="24"/>
        <v>45461</v>
      </c>
      <c r="U43" s="265">
        <f t="shared" si="24"/>
        <v>45462</v>
      </c>
      <c r="V43" s="265">
        <f t="shared" si="24"/>
        <v>45463</v>
      </c>
      <c r="W43" s="265">
        <f t="shared" si="24"/>
        <v>45464</v>
      </c>
      <c r="X43" s="265">
        <f t="shared" si="24"/>
        <v>45465</v>
      </c>
      <c r="Y43" s="265">
        <f t="shared" si="24"/>
        <v>45466</v>
      </c>
      <c r="Z43" s="265">
        <f t="shared" si="24"/>
        <v>45467</v>
      </c>
      <c r="AA43" s="265">
        <f t="shared" si="24"/>
        <v>45468</v>
      </c>
      <c r="AB43" s="265">
        <f t="shared" si="24"/>
        <v>45469</v>
      </c>
      <c r="AC43" s="265">
        <f t="shared" si="24"/>
        <v>45470</v>
      </c>
      <c r="AD43" s="265">
        <f t="shared" si="24"/>
        <v>45471</v>
      </c>
      <c r="AE43" s="265">
        <f t="shared" si="24"/>
        <v>45472</v>
      </c>
      <c r="AF43" s="265">
        <f t="shared" si="24"/>
        <v>45473</v>
      </c>
      <c r="AG43" s="265">
        <f t="shared" si="24"/>
        <v>45474</v>
      </c>
    </row>
    <row r="44" spans="1:33" s="39" customFormat="1">
      <c r="A44" s="12" t="s">
        <v>888</v>
      </c>
      <c r="B44" s="22">
        <f>SUM(C44:AG44)</f>
        <v>408</v>
      </c>
      <c r="C44" s="267">
        <f>C32</f>
        <v>0</v>
      </c>
      <c r="D44" s="267">
        <f t="shared" ref="D44:AG44" si="25">D32</f>
        <v>0</v>
      </c>
      <c r="E44" s="267">
        <f t="shared" si="25"/>
        <v>107</v>
      </c>
      <c r="F44" s="267">
        <f t="shared" si="25"/>
        <v>49</v>
      </c>
      <c r="G44" s="267">
        <f t="shared" si="25"/>
        <v>27</v>
      </c>
      <c r="H44" s="267">
        <f t="shared" si="25"/>
        <v>36</v>
      </c>
      <c r="I44" s="267">
        <f t="shared" si="25"/>
        <v>44</v>
      </c>
      <c r="J44" s="267">
        <f t="shared" si="25"/>
        <v>0</v>
      </c>
      <c r="K44" s="267">
        <f t="shared" si="25"/>
        <v>0</v>
      </c>
      <c r="L44" s="267">
        <f t="shared" si="25"/>
        <v>57</v>
      </c>
      <c r="M44" s="267">
        <f t="shared" si="25"/>
        <v>31</v>
      </c>
      <c r="N44" s="267">
        <f t="shared" si="25"/>
        <v>40</v>
      </c>
      <c r="O44" s="267">
        <f t="shared" si="25"/>
        <v>17</v>
      </c>
      <c r="P44" s="267">
        <f t="shared" si="25"/>
        <v>0</v>
      </c>
      <c r="Q44" s="267">
        <f t="shared" si="25"/>
        <v>0</v>
      </c>
      <c r="R44" s="267">
        <f t="shared" si="25"/>
        <v>0</v>
      </c>
      <c r="S44" s="267">
        <f t="shared" si="25"/>
        <v>0</v>
      </c>
      <c r="T44" s="267">
        <f t="shared" si="25"/>
        <v>0</v>
      </c>
      <c r="U44" s="267">
        <f t="shared" si="25"/>
        <v>0</v>
      </c>
      <c r="V44" s="267">
        <f t="shared" si="25"/>
        <v>0</v>
      </c>
      <c r="W44" s="267">
        <f t="shared" si="25"/>
        <v>0</v>
      </c>
      <c r="X44" s="267">
        <f t="shared" si="25"/>
        <v>0</v>
      </c>
      <c r="Y44" s="267">
        <f t="shared" si="25"/>
        <v>0</v>
      </c>
      <c r="Z44" s="267">
        <f t="shared" si="25"/>
        <v>0</v>
      </c>
      <c r="AA44" s="267">
        <f t="shared" si="25"/>
        <v>0</v>
      </c>
      <c r="AB44" s="267">
        <f t="shared" si="25"/>
        <v>0</v>
      </c>
      <c r="AC44" s="267">
        <f t="shared" si="25"/>
        <v>0</v>
      </c>
      <c r="AD44" s="267">
        <f t="shared" si="25"/>
        <v>0</v>
      </c>
      <c r="AE44" s="267">
        <f t="shared" si="25"/>
        <v>0</v>
      </c>
      <c r="AF44" s="267">
        <f t="shared" si="25"/>
        <v>0</v>
      </c>
      <c r="AG44" s="267">
        <f t="shared" si="25"/>
        <v>0</v>
      </c>
    </row>
    <row r="45" spans="1:33" s="39" customFormat="1">
      <c r="A45" s="12" t="s">
        <v>889</v>
      </c>
      <c r="B45" s="267">
        <f>SUM(C45:AG45)</f>
        <v>0</v>
      </c>
      <c r="C45" s="267">
        <f>C36</f>
        <v>0</v>
      </c>
      <c r="D45" s="267">
        <f t="shared" ref="D45:AG45" si="26">D36</f>
        <v>0</v>
      </c>
      <c r="E45" s="267">
        <f t="shared" si="26"/>
        <v>0</v>
      </c>
      <c r="F45" s="267">
        <f t="shared" si="26"/>
        <v>0</v>
      </c>
      <c r="G45" s="267">
        <f t="shared" si="26"/>
        <v>0</v>
      </c>
      <c r="H45" s="267">
        <f t="shared" si="26"/>
        <v>0</v>
      </c>
      <c r="I45" s="267">
        <f t="shared" si="26"/>
        <v>0</v>
      </c>
      <c r="J45" s="267">
        <f t="shared" si="26"/>
        <v>0</v>
      </c>
      <c r="K45" s="267">
        <f t="shared" si="26"/>
        <v>0</v>
      </c>
      <c r="L45" s="267">
        <f t="shared" si="26"/>
        <v>0</v>
      </c>
      <c r="M45" s="267">
        <f t="shared" si="26"/>
        <v>0</v>
      </c>
      <c r="N45" s="267">
        <f t="shared" si="26"/>
        <v>0</v>
      </c>
      <c r="O45" s="267">
        <f t="shared" si="26"/>
        <v>0</v>
      </c>
      <c r="P45" s="267">
        <f t="shared" si="26"/>
        <v>0</v>
      </c>
      <c r="Q45" s="267">
        <f t="shared" si="26"/>
        <v>0</v>
      </c>
      <c r="R45" s="267">
        <f t="shared" si="26"/>
        <v>0</v>
      </c>
      <c r="S45" s="267">
        <f t="shared" si="26"/>
        <v>0</v>
      </c>
      <c r="T45" s="267">
        <f t="shared" si="26"/>
        <v>0</v>
      </c>
      <c r="U45" s="267">
        <f t="shared" si="26"/>
        <v>0</v>
      </c>
      <c r="V45" s="267">
        <f t="shared" si="26"/>
        <v>0</v>
      </c>
      <c r="W45" s="267">
        <f t="shared" si="26"/>
        <v>0</v>
      </c>
      <c r="X45" s="267">
        <f t="shared" si="26"/>
        <v>0</v>
      </c>
      <c r="Y45" s="267">
        <f t="shared" si="26"/>
        <v>0</v>
      </c>
      <c r="Z45" s="267">
        <f t="shared" si="26"/>
        <v>0</v>
      </c>
      <c r="AA45" s="267">
        <f t="shared" si="26"/>
        <v>0</v>
      </c>
      <c r="AB45" s="267">
        <f t="shared" si="26"/>
        <v>0</v>
      </c>
      <c r="AC45" s="267">
        <f t="shared" si="26"/>
        <v>0</v>
      </c>
      <c r="AD45" s="267">
        <f t="shared" si="26"/>
        <v>0</v>
      </c>
      <c r="AE45" s="267">
        <f t="shared" si="26"/>
        <v>0</v>
      </c>
      <c r="AF45" s="267">
        <f t="shared" si="26"/>
        <v>0</v>
      </c>
      <c r="AG45" s="267">
        <f t="shared" si="26"/>
        <v>0</v>
      </c>
    </row>
    <row r="46" spans="1:33" s="39" customFormat="1">
      <c r="A46" s="12" t="s">
        <v>890</v>
      </c>
      <c r="B46" s="22">
        <f>SUM(C46:AG46)</f>
        <v>0</v>
      </c>
      <c r="C46" s="267">
        <f>C41</f>
        <v>0</v>
      </c>
      <c r="D46" s="267">
        <f t="shared" ref="D46:AG46" si="27">D41</f>
        <v>0</v>
      </c>
      <c r="E46" s="267">
        <f t="shared" si="27"/>
        <v>0</v>
      </c>
      <c r="F46" s="267">
        <f t="shared" si="27"/>
        <v>0</v>
      </c>
      <c r="G46" s="267">
        <f t="shared" si="27"/>
        <v>0</v>
      </c>
      <c r="H46" s="267">
        <f t="shared" si="27"/>
        <v>0</v>
      </c>
      <c r="I46" s="267">
        <f t="shared" si="27"/>
        <v>0</v>
      </c>
      <c r="J46" s="267">
        <f t="shared" si="27"/>
        <v>0</v>
      </c>
      <c r="K46" s="267">
        <f t="shared" si="27"/>
        <v>0</v>
      </c>
      <c r="L46" s="267">
        <f t="shared" si="27"/>
        <v>0</v>
      </c>
      <c r="M46" s="267">
        <f t="shared" si="27"/>
        <v>0</v>
      </c>
      <c r="N46" s="267">
        <f t="shared" si="27"/>
        <v>0</v>
      </c>
      <c r="O46" s="267">
        <f t="shared" si="27"/>
        <v>0</v>
      </c>
      <c r="P46" s="267">
        <f t="shared" si="27"/>
        <v>0</v>
      </c>
      <c r="Q46" s="267">
        <f t="shared" si="27"/>
        <v>0</v>
      </c>
      <c r="R46" s="267">
        <f t="shared" si="27"/>
        <v>0</v>
      </c>
      <c r="S46" s="267">
        <f t="shared" si="27"/>
        <v>0</v>
      </c>
      <c r="T46" s="267">
        <f t="shared" si="27"/>
        <v>0</v>
      </c>
      <c r="U46" s="267">
        <f t="shared" si="27"/>
        <v>0</v>
      </c>
      <c r="V46" s="267">
        <f t="shared" si="27"/>
        <v>0</v>
      </c>
      <c r="W46" s="267">
        <f t="shared" si="27"/>
        <v>0</v>
      </c>
      <c r="X46" s="267">
        <f t="shared" si="27"/>
        <v>0</v>
      </c>
      <c r="Y46" s="267">
        <f t="shared" si="27"/>
        <v>0</v>
      </c>
      <c r="Z46" s="267">
        <f t="shared" si="27"/>
        <v>0</v>
      </c>
      <c r="AA46" s="267">
        <f t="shared" si="27"/>
        <v>0</v>
      </c>
      <c r="AB46" s="267">
        <f t="shared" si="27"/>
        <v>0</v>
      </c>
      <c r="AC46" s="267">
        <f t="shared" si="27"/>
        <v>0</v>
      </c>
      <c r="AD46" s="267">
        <f t="shared" si="27"/>
        <v>0</v>
      </c>
      <c r="AE46" s="267">
        <f t="shared" si="27"/>
        <v>0</v>
      </c>
      <c r="AF46" s="267">
        <f t="shared" si="27"/>
        <v>0</v>
      </c>
      <c r="AG46" s="267">
        <f t="shared" si="27"/>
        <v>0</v>
      </c>
    </row>
    <row r="47" spans="1:33" s="39" customFormat="1">
      <c r="A47" s="263" t="s">
        <v>417</v>
      </c>
      <c r="B47" s="268">
        <f>IFERROR((B44-B46)/B44,"")</f>
        <v>1</v>
      </c>
      <c r="C47" s="268" t="str">
        <f>IFERROR((C44-C46)/C44,"")</f>
        <v/>
      </c>
      <c r="D47" s="266" t="str">
        <f t="shared" ref="D47:AG47" si="28">IFERROR((D44-D46)/D44,"")</f>
        <v/>
      </c>
      <c r="E47" s="266">
        <f t="shared" si="28"/>
        <v>1</v>
      </c>
      <c r="F47" s="266">
        <f t="shared" si="28"/>
        <v>1</v>
      </c>
      <c r="G47" s="266">
        <f t="shared" si="28"/>
        <v>1</v>
      </c>
      <c r="H47" s="268">
        <f t="shared" si="28"/>
        <v>1</v>
      </c>
      <c r="I47" s="266">
        <f t="shared" si="28"/>
        <v>1</v>
      </c>
      <c r="J47" s="266" t="str">
        <f t="shared" si="28"/>
        <v/>
      </c>
      <c r="K47" s="266" t="str">
        <f t="shared" si="28"/>
        <v/>
      </c>
      <c r="L47" s="268">
        <f t="shared" si="28"/>
        <v>1</v>
      </c>
      <c r="M47" s="266">
        <f t="shared" si="28"/>
        <v>1</v>
      </c>
      <c r="N47" s="266">
        <f t="shared" si="28"/>
        <v>1</v>
      </c>
      <c r="O47" s="266">
        <f t="shared" si="28"/>
        <v>1</v>
      </c>
      <c r="P47" s="266" t="str">
        <f t="shared" si="28"/>
        <v/>
      </c>
      <c r="Q47" s="266" t="str">
        <f t="shared" si="28"/>
        <v/>
      </c>
      <c r="R47" s="266" t="str">
        <f t="shared" si="28"/>
        <v/>
      </c>
      <c r="S47" s="266" t="str">
        <f t="shared" si="28"/>
        <v/>
      </c>
      <c r="T47" s="266" t="str">
        <f t="shared" si="28"/>
        <v/>
      </c>
      <c r="U47" s="266" t="str">
        <f t="shared" si="28"/>
        <v/>
      </c>
      <c r="V47" s="266" t="str">
        <f t="shared" si="28"/>
        <v/>
      </c>
      <c r="W47" s="266" t="str">
        <f t="shared" si="28"/>
        <v/>
      </c>
      <c r="X47" s="266" t="str">
        <f t="shared" si="28"/>
        <v/>
      </c>
      <c r="Y47" s="266" t="str">
        <f t="shared" si="28"/>
        <v/>
      </c>
      <c r="Z47" s="266" t="str">
        <f t="shared" si="28"/>
        <v/>
      </c>
      <c r="AA47" s="266" t="str">
        <f t="shared" si="28"/>
        <v/>
      </c>
      <c r="AB47" s="266" t="str">
        <f t="shared" si="28"/>
        <v/>
      </c>
      <c r="AC47" s="266" t="str">
        <f t="shared" si="28"/>
        <v/>
      </c>
      <c r="AD47" s="266" t="str">
        <f t="shared" si="28"/>
        <v/>
      </c>
      <c r="AE47" s="268" t="str">
        <f t="shared" si="28"/>
        <v/>
      </c>
      <c r="AF47" s="268" t="str">
        <f t="shared" si="28"/>
        <v/>
      </c>
      <c r="AG47" s="268" t="str">
        <f t="shared" si="28"/>
        <v/>
      </c>
    </row>
    <row r="49" spans="1:33" ht="18.75">
      <c r="A49" s="406" t="s">
        <v>893</v>
      </c>
      <c r="B49" s="406"/>
      <c r="C49" s="406"/>
      <c r="D49" s="406"/>
      <c r="E49" s="406"/>
      <c r="F49" s="406"/>
      <c r="G49" s="406"/>
      <c r="H49" s="406"/>
      <c r="I49" s="406"/>
      <c r="J49" s="406"/>
      <c r="K49" s="406"/>
      <c r="L49" s="406"/>
      <c r="M49" s="406"/>
      <c r="N49" s="406"/>
      <c r="O49" s="406"/>
      <c r="P49" s="406"/>
      <c r="Q49" s="406"/>
      <c r="R49" s="406"/>
      <c r="S49" s="406"/>
      <c r="T49" s="406"/>
      <c r="U49" s="406"/>
      <c r="V49" s="406"/>
      <c r="W49" s="406"/>
      <c r="X49" s="406"/>
      <c r="Y49" s="406"/>
      <c r="Z49" s="406"/>
      <c r="AA49" s="406"/>
      <c r="AB49" s="406"/>
      <c r="AC49" s="406"/>
      <c r="AD49" s="406"/>
      <c r="AE49" s="406"/>
      <c r="AF49" s="406"/>
      <c r="AG49" s="406"/>
    </row>
    <row r="50" spans="1:33" ht="15.75">
      <c r="A50" s="407" t="s">
        <v>35</v>
      </c>
      <c r="B50" s="407"/>
      <c r="C50" s="407"/>
      <c r="D50" s="407"/>
      <c r="E50" s="407"/>
      <c r="F50" s="407"/>
      <c r="G50" s="407"/>
      <c r="H50" s="407"/>
      <c r="I50" s="407"/>
      <c r="J50" s="407"/>
      <c r="K50" s="407"/>
      <c r="L50" s="407"/>
      <c r="M50" s="407"/>
      <c r="N50" s="407"/>
      <c r="O50" s="407"/>
      <c r="P50" s="407"/>
      <c r="Q50" s="407"/>
      <c r="R50" s="407"/>
      <c r="S50" s="407"/>
      <c r="T50" s="407"/>
      <c r="U50" s="407"/>
      <c r="V50" s="407"/>
      <c r="W50" s="407"/>
      <c r="X50" s="407"/>
      <c r="Y50" s="407"/>
      <c r="Z50" s="407"/>
      <c r="AA50" s="407"/>
      <c r="AB50" s="407"/>
      <c r="AC50" s="407"/>
      <c r="AD50" s="407"/>
      <c r="AE50" s="407"/>
      <c r="AF50" s="407"/>
      <c r="AG50" s="407"/>
    </row>
    <row r="51" spans="1:33">
      <c r="A51" s="259" t="s">
        <v>143</v>
      </c>
      <c r="B51" s="260" t="s">
        <v>13</v>
      </c>
      <c r="C51" s="261">
        <f>$C$5</f>
        <v>45444</v>
      </c>
      <c r="D51" s="261">
        <f>C51+1</f>
        <v>45445</v>
      </c>
      <c r="E51" s="261">
        <f t="shared" ref="E51:AG51" si="29">D51+1</f>
        <v>45446</v>
      </c>
      <c r="F51" s="261">
        <f t="shared" si="29"/>
        <v>45447</v>
      </c>
      <c r="G51" s="261">
        <f t="shared" si="29"/>
        <v>45448</v>
      </c>
      <c r="H51" s="261">
        <f t="shared" si="29"/>
        <v>45449</v>
      </c>
      <c r="I51" s="261">
        <f t="shared" si="29"/>
        <v>45450</v>
      </c>
      <c r="J51" s="261">
        <f t="shared" si="29"/>
        <v>45451</v>
      </c>
      <c r="K51" s="261">
        <f t="shared" si="29"/>
        <v>45452</v>
      </c>
      <c r="L51" s="261">
        <f t="shared" si="29"/>
        <v>45453</v>
      </c>
      <c r="M51" s="261">
        <f t="shared" si="29"/>
        <v>45454</v>
      </c>
      <c r="N51" s="261">
        <f t="shared" si="29"/>
        <v>45455</v>
      </c>
      <c r="O51" s="261">
        <f t="shared" si="29"/>
        <v>45456</v>
      </c>
      <c r="P51" s="261">
        <f t="shared" si="29"/>
        <v>45457</v>
      </c>
      <c r="Q51" s="261">
        <f t="shared" si="29"/>
        <v>45458</v>
      </c>
      <c r="R51" s="261">
        <f t="shared" si="29"/>
        <v>45459</v>
      </c>
      <c r="S51" s="261">
        <f t="shared" si="29"/>
        <v>45460</v>
      </c>
      <c r="T51" s="261">
        <f t="shared" si="29"/>
        <v>45461</v>
      </c>
      <c r="U51" s="261">
        <f t="shared" si="29"/>
        <v>45462</v>
      </c>
      <c r="V51" s="261">
        <f t="shared" si="29"/>
        <v>45463</v>
      </c>
      <c r="W51" s="261">
        <f t="shared" si="29"/>
        <v>45464</v>
      </c>
      <c r="X51" s="261">
        <f t="shared" si="29"/>
        <v>45465</v>
      </c>
      <c r="Y51" s="261">
        <f t="shared" si="29"/>
        <v>45466</v>
      </c>
      <c r="Z51" s="261">
        <f t="shared" si="29"/>
        <v>45467</v>
      </c>
      <c r="AA51" s="261">
        <f t="shared" si="29"/>
        <v>45468</v>
      </c>
      <c r="AB51" s="261">
        <f t="shared" si="29"/>
        <v>45469</v>
      </c>
      <c r="AC51" s="261">
        <f t="shared" si="29"/>
        <v>45470</v>
      </c>
      <c r="AD51" s="261">
        <f t="shared" si="29"/>
        <v>45471</v>
      </c>
      <c r="AE51" s="261">
        <f t="shared" si="29"/>
        <v>45472</v>
      </c>
      <c r="AF51" s="261">
        <f t="shared" si="29"/>
        <v>45473</v>
      </c>
      <c r="AG51" s="261">
        <f t="shared" si="29"/>
        <v>45474</v>
      </c>
    </row>
    <row r="52" spans="1:33">
      <c r="A52" s="12" t="s">
        <v>177</v>
      </c>
      <c r="B52" s="22">
        <f t="shared" ref="B52:B53" si="30">SUM(C52:AG52)</f>
        <v>414</v>
      </c>
      <c r="C52" s="22"/>
      <c r="D52" s="22"/>
      <c r="E52" s="22"/>
      <c r="F52" s="22"/>
      <c r="G52" s="22"/>
      <c r="H52" s="22"/>
      <c r="I52" s="2"/>
      <c r="J52" s="22"/>
      <c r="K52" s="22"/>
      <c r="L52" s="22"/>
      <c r="M52" s="22"/>
      <c r="N52" s="22"/>
      <c r="O52" s="22">
        <v>9</v>
      </c>
      <c r="P52" s="22">
        <v>54</v>
      </c>
      <c r="Q52" s="22"/>
      <c r="R52" s="22"/>
      <c r="S52" s="22">
        <v>42</v>
      </c>
      <c r="T52" s="22">
        <v>44</v>
      </c>
      <c r="U52" s="22">
        <v>16</v>
      </c>
      <c r="V52" s="22">
        <v>22</v>
      </c>
      <c r="W52" s="22">
        <v>22</v>
      </c>
      <c r="X52" s="22"/>
      <c r="Y52" s="22"/>
      <c r="Z52" s="22">
        <v>70</v>
      </c>
      <c r="AA52" s="22">
        <v>46</v>
      </c>
      <c r="AB52" s="22">
        <v>22</v>
      </c>
      <c r="AC52" s="22">
        <v>43</v>
      </c>
      <c r="AD52" s="22">
        <v>24</v>
      </c>
      <c r="AE52" s="22"/>
      <c r="AF52" s="22"/>
      <c r="AG52" s="22"/>
    </row>
    <row r="53" spans="1:33">
      <c r="A53" s="12" t="s">
        <v>178</v>
      </c>
      <c r="B53" s="22">
        <f t="shared" si="30"/>
        <v>20</v>
      </c>
      <c r="C53" s="22"/>
      <c r="D53" s="22"/>
      <c r="E53" s="22"/>
      <c r="F53" s="22"/>
      <c r="G53" s="22"/>
      <c r="H53" s="22"/>
      <c r="I53" s="2"/>
      <c r="J53" s="22"/>
      <c r="K53" s="22"/>
      <c r="L53" s="22"/>
      <c r="M53" s="22"/>
      <c r="N53" s="22"/>
      <c r="O53" s="22"/>
      <c r="P53" s="22">
        <v>1</v>
      </c>
      <c r="Q53" s="22"/>
      <c r="R53" s="22"/>
      <c r="S53" s="22">
        <v>4</v>
      </c>
      <c r="T53" s="22">
        <v>1</v>
      </c>
      <c r="U53" s="22"/>
      <c r="V53" s="22"/>
      <c r="W53" s="22"/>
      <c r="X53" s="22"/>
      <c r="Y53" s="22"/>
      <c r="Z53" s="22">
        <v>3</v>
      </c>
      <c r="AA53" s="22">
        <v>3</v>
      </c>
      <c r="AB53" s="22">
        <v>4</v>
      </c>
      <c r="AC53" s="22">
        <v>2</v>
      </c>
      <c r="AD53" s="22">
        <v>2</v>
      </c>
      <c r="AE53" s="22"/>
      <c r="AF53" s="22"/>
      <c r="AG53" s="22"/>
    </row>
    <row r="54" spans="1:33">
      <c r="A54" s="259" t="s">
        <v>9</v>
      </c>
      <c r="B54" s="262">
        <f t="shared" ref="B54:AG54" si="31">SUM(B52:B53)</f>
        <v>434</v>
      </c>
      <c r="C54" s="260">
        <f t="shared" si="31"/>
        <v>0</v>
      </c>
      <c r="D54" s="260">
        <f t="shared" si="31"/>
        <v>0</v>
      </c>
      <c r="E54" s="260">
        <f t="shared" si="31"/>
        <v>0</v>
      </c>
      <c r="F54" s="260">
        <f t="shared" si="31"/>
        <v>0</v>
      </c>
      <c r="G54" s="260">
        <f t="shared" si="31"/>
        <v>0</v>
      </c>
      <c r="H54" s="260">
        <f t="shared" si="31"/>
        <v>0</v>
      </c>
      <c r="I54" s="260">
        <f t="shared" si="31"/>
        <v>0</v>
      </c>
      <c r="J54" s="260">
        <f t="shared" si="31"/>
        <v>0</v>
      </c>
      <c r="K54" s="260">
        <f t="shared" si="31"/>
        <v>0</v>
      </c>
      <c r="L54" s="260">
        <f t="shared" si="31"/>
        <v>0</v>
      </c>
      <c r="M54" s="260">
        <f t="shared" si="31"/>
        <v>0</v>
      </c>
      <c r="N54" s="260">
        <f t="shared" si="31"/>
        <v>0</v>
      </c>
      <c r="O54" s="260">
        <f t="shared" si="31"/>
        <v>9</v>
      </c>
      <c r="P54" s="260">
        <f t="shared" si="31"/>
        <v>55</v>
      </c>
      <c r="Q54" s="260">
        <f t="shared" si="31"/>
        <v>0</v>
      </c>
      <c r="R54" s="260">
        <f t="shared" si="31"/>
        <v>0</v>
      </c>
      <c r="S54" s="260">
        <f t="shared" si="31"/>
        <v>46</v>
      </c>
      <c r="T54" s="260">
        <f t="shared" si="31"/>
        <v>45</v>
      </c>
      <c r="U54" s="260">
        <f t="shared" si="31"/>
        <v>16</v>
      </c>
      <c r="V54" s="260">
        <f t="shared" si="31"/>
        <v>22</v>
      </c>
      <c r="W54" s="260">
        <f t="shared" si="31"/>
        <v>22</v>
      </c>
      <c r="X54" s="260">
        <f t="shared" si="31"/>
        <v>0</v>
      </c>
      <c r="Y54" s="260">
        <f t="shared" si="31"/>
        <v>0</v>
      </c>
      <c r="Z54" s="260">
        <f t="shared" si="31"/>
        <v>73</v>
      </c>
      <c r="AA54" s="260">
        <f t="shared" si="31"/>
        <v>49</v>
      </c>
      <c r="AB54" s="260">
        <f t="shared" si="31"/>
        <v>26</v>
      </c>
      <c r="AC54" s="260">
        <f t="shared" si="31"/>
        <v>45</v>
      </c>
      <c r="AD54" s="260">
        <f t="shared" si="31"/>
        <v>26</v>
      </c>
      <c r="AE54" s="260">
        <f t="shared" si="31"/>
        <v>0</v>
      </c>
      <c r="AF54" s="260">
        <f t="shared" si="31"/>
        <v>0</v>
      </c>
      <c r="AG54" s="260">
        <f t="shared" si="31"/>
        <v>0</v>
      </c>
    </row>
    <row r="55" spans="1:33" ht="15.75">
      <c r="A55" s="408" t="s">
        <v>880</v>
      </c>
      <c r="B55" s="408"/>
      <c r="C55" s="408"/>
      <c r="D55" s="408"/>
      <c r="E55" s="408"/>
      <c r="F55" s="408"/>
      <c r="G55" s="408"/>
      <c r="H55" s="408"/>
      <c r="I55" s="408"/>
      <c r="J55" s="408"/>
      <c r="K55" s="408"/>
      <c r="L55" s="408"/>
      <c r="M55" s="408"/>
      <c r="N55" s="408"/>
      <c r="O55" s="408"/>
      <c r="P55" s="408"/>
      <c r="Q55" s="408"/>
      <c r="R55" s="408"/>
      <c r="S55" s="408"/>
      <c r="T55" s="408"/>
      <c r="U55" s="408"/>
      <c r="V55" s="408"/>
      <c r="W55" s="408"/>
      <c r="X55" s="408"/>
      <c r="Y55" s="408"/>
      <c r="Z55" s="408"/>
      <c r="AA55" s="408"/>
      <c r="AB55" s="408"/>
      <c r="AC55" s="408"/>
      <c r="AD55" s="408"/>
      <c r="AE55" s="408"/>
      <c r="AF55" s="408"/>
      <c r="AG55" s="408"/>
    </row>
    <row r="56" spans="1:33">
      <c r="A56" s="263" t="s">
        <v>143</v>
      </c>
      <c r="B56" s="264" t="s">
        <v>13</v>
      </c>
      <c r="C56" s="265">
        <f>$C$5</f>
        <v>45444</v>
      </c>
      <c r="D56" s="265">
        <f>C56+1</f>
        <v>45445</v>
      </c>
      <c r="E56" s="265">
        <f t="shared" ref="E56:AG56" si="32">D56+1</f>
        <v>45446</v>
      </c>
      <c r="F56" s="265">
        <f t="shared" si="32"/>
        <v>45447</v>
      </c>
      <c r="G56" s="265">
        <f t="shared" si="32"/>
        <v>45448</v>
      </c>
      <c r="H56" s="265">
        <f t="shared" si="32"/>
        <v>45449</v>
      </c>
      <c r="I56" s="265">
        <f t="shared" si="32"/>
        <v>45450</v>
      </c>
      <c r="J56" s="265">
        <f t="shared" si="32"/>
        <v>45451</v>
      </c>
      <c r="K56" s="265">
        <f t="shared" si="32"/>
        <v>45452</v>
      </c>
      <c r="L56" s="265">
        <f t="shared" si="32"/>
        <v>45453</v>
      </c>
      <c r="M56" s="265">
        <f t="shared" si="32"/>
        <v>45454</v>
      </c>
      <c r="N56" s="265">
        <f t="shared" si="32"/>
        <v>45455</v>
      </c>
      <c r="O56" s="265">
        <f t="shared" si="32"/>
        <v>45456</v>
      </c>
      <c r="P56" s="265">
        <f t="shared" si="32"/>
        <v>45457</v>
      </c>
      <c r="Q56" s="265">
        <f t="shared" si="32"/>
        <v>45458</v>
      </c>
      <c r="R56" s="265">
        <f t="shared" si="32"/>
        <v>45459</v>
      </c>
      <c r="S56" s="265">
        <f t="shared" si="32"/>
        <v>45460</v>
      </c>
      <c r="T56" s="265">
        <f t="shared" si="32"/>
        <v>45461</v>
      </c>
      <c r="U56" s="265">
        <f t="shared" si="32"/>
        <v>45462</v>
      </c>
      <c r="V56" s="265">
        <f t="shared" si="32"/>
        <v>45463</v>
      </c>
      <c r="W56" s="265">
        <f t="shared" si="32"/>
        <v>45464</v>
      </c>
      <c r="X56" s="265">
        <f t="shared" si="32"/>
        <v>45465</v>
      </c>
      <c r="Y56" s="265">
        <f t="shared" si="32"/>
        <v>45466</v>
      </c>
      <c r="Z56" s="265">
        <f t="shared" si="32"/>
        <v>45467</v>
      </c>
      <c r="AA56" s="265">
        <f t="shared" si="32"/>
        <v>45468</v>
      </c>
      <c r="AB56" s="265">
        <f t="shared" si="32"/>
        <v>45469</v>
      </c>
      <c r="AC56" s="265">
        <f t="shared" si="32"/>
        <v>45470</v>
      </c>
      <c r="AD56" s="265">
        <f t="shared" si="32"/>
        <v>45471</v>
      </c>
      <c r="AE56" s="265">
        <f t="shared" si="32"/>
        <v>45472</v>
      </c>
      <c r="AF56" s="265">
        <f t="shared" si="32"/>
        <v>45473</v>
      </c>
      <c r="AG56" s="265">
        <f t="shared" si="32"/>
        <v>45474</v>
      </c>
    </row>
    <row r="57" spans="1:33">
      <c r="A57" s="12" t="s">
        <v>894</v>
      </c>
      <c r="B57" s="22">
        <f t="shared" ref="B57:B59" si="33">SUM(C57:AG57)</f>
        <v>0</v>
      </c>
      <c r="C57" s="22"/>
      <c r="D57" s="22"/>
      <c r="E57" s="22"/>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row>
    <row r="58" spans="1:33">
      <c r="A58" s="12" t="s">
        <v>895</v>
      </c>
      <c r="B58" s="22">
        <f t="shared" si="33"/>
        <v>0</v>
      </c>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row>
    <row r="59" spans="1:33">
      <c r="A59" s="12" t="s">
        <v>881</v>
      </c>
      <c r="B59" s="22">
        <f t="shared" si="33"/>
        <v>0</v>
      </c>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row>
    <row r="60" spans="1:33">
      <c r="A60" s="263" t="s">
        <v>9</v>
      </c>
      <c r="B60" s="266">
        <f t="shared" ref="B60:AG60" si="34">SUM(B57:B59)</f>
        <v>0</v>
      </c>
      <c r="C60" s="266">
        <f t="shared" si="34"/>
        <v>0</v>
      </c>
      <c r="D60" s="266">
        <f t="shared" si="34"/>
        <v>0</v>
      </c>
      <c r="E60" s="266">
        <f t="shared" si="34"/>
        <v>0</v>
      </c>
      <c r="F60" s="266">
        <f t="shared" si="34"/>
        <v>0</v>
      </c>
      <c r="G60" s="266">
        <f t="shared" si="34"/>
        <v>0</v>
      </c>
      <c r="H60" s="266">
        <f t="shared" si="34"/>
        <v>0</v>
      </c>
      <c r="I60" s="266">
        <f t="shared" si="34"/>
        <v>0</v>
      </c>
      <c r="J60" s="266">
        <f t="shared" si="34"/>
        <v>0</v>
      </c>
      <c r="K60" s="266">
        <f t="shared" si="34"/>
        <v>0</v>
      </c>
      <c r="L60" s="266">
        <f t="shared" si="34"/>
        <v>0</v>
      </c>
      <c r="M60" s="266">
        <f t="shared" si="34"/>
        <v>0</v>
      </c>
      <c r="N60" s="266">
        <f t="shared" si="34"/>
        <v>0</v>
      </c>
      <c r="O60" s="266">
        <f t="shared" si="34"/>
        <v>0</v>
      </c>
      <c r="P60" s="266">
        <f t="shared" si="34"/>
        <v>0</v>
      </c>
      <c r="Q60" s="266">
        <f t="shared" si="34"/>
        <v>0</v>
      </c>
      <c r="R60" s="266">
        <f t="shared" si="34"/>
        <v>0</v>
      </c>
      <c r="S60" s="266">
        <f t="shared" si="34"/>
        <v>0</v>
      </c>
      <c r="T60" s="266">
        <f t="shared" si="34"/>
        <v>0</v>
      </c>
      <c r="U60" s="266">
        <f t="shared" si="34"/>
        <v>0</v>
      </c>
      <c r="V60" s="266">
        <f t="shared" si="34"/>
        <v>0</v>
      </c>
      <c r="W60" s="266">
        <f t="shared" si="34"/>
        <v>0</v>
      </c>
      <c r="X60" s="266">
        <f t="shared" si="34"/>
        <v>0</v>
      </c>
      <c r="Y60" s="266">
        <f t="shared" si="34"/>
        <v>0</v>
      </c>
      <c r="Z60" s="266">
        <f t="shared" si="34"/>
        <v>0</v>
      </c>
      <c r="AA60" s="266">
        <f t="shared" si="34"/>
        <v>0</v>
      </c>
      <c r="AB60" s="266">
        <f t="shared" si="34"/>
        <v>0</v>
      </c>
      <c r="AC60" s="266">
        <f t="shared" si="34"/>
        <v>0</v>
      </c>
      <c r="AD60" s="266">
        <f t="shared" si="34"/>
        <v>0</v>
      </c>
      <c r="AE60" s="266">
        <f t="shared" si="34"/>
        <v>0</v>
      </c>
      <c r="AF60" s="266">
        <f t="shared" si="34"/>
        <v>0</v>
      </c>
      <c r="AG60" s="266">
        <f t="shared" si="34"/>
        <v>0</v>
      </c>
    </row>
    <row r="61" spans="1:33" ht="15.75">
      <c r="A61" s="403" t="s">
        <v>882</v>
      </c>
      <c r="B61" s="403"/>
      <c r="C61" s="403"/>
      <c r="D61" s="403"/>
      <c r="E61" s="403"/>
      <c r="F61" s="403"/>
      <c r="G61" s="403"/>
      <c r="H61" s="403"/>
      <c r="I61" s="403"/>
      <c r="J61" s="403"/>
      <c r="K61" s="403"/>
      <c r="L61" s="403"/>
      <c r="M61" s="403"/>
      <c r="N61" s="403"/>
      <c r="O61" s="403"/>
      <c r="P61" s="403"/>
      <c r="Q61" s="403"/>
      <c r="R61" s="403"/>
      <c r="S61" s="403"/>
      <c r="T61" s="403"/>
      <c r="U61" s="403"/>
      <c r="V61" s="403"/>
      <c r="W61" s="403"/>
      <c r="X61" s="403"/>
      <c r="Y61" s="403"/>
      <c r="Z61" s="403"/>
      <c r="AA61" s="403"/>
      <c r="AB61" s="403"/>
      <c r="AC61" s="403"/>
      <c r="AD61" s="403"/>
      <c r="AE61" s="403"/>
      <c r="AF61" s="403"/>
      <c r="AG61" s="403"/>
    </row>
    <row r="62" spans="1:33">
      <c r="A62" s="263" t="s">
        <v>883</v>
      </c>
      <c r="B62" s="264" t="s">
        <v>13</v>
      </c>
      <c r="C62" s="265">
        <f>$C$5</f>
        <v>45444</v>
      </c>
      <c r="D62" s="265">
        <f>C62+1</f>
        <v>45445</v>
      </c>
      <c r="E62" s="265">
        <f t="shared" ref="E62:AG62" si="35">D62+1</f>
        <v>45446</v>
      </c>
      <c r="F62" s="265">
        <f t="shared" si="35"/>
        <v>45447</v>
      </c>
      <c r="G62" s="265">
        <f t="shared" si="35"/>
        <v>45448</v>
      </c>
      <c r="H62" s="265">
        <f t="shared" si="35"/>
        <v>45449</v>
      </c>
      <c r="I62" s="265">
        <f t="shared" si="35"/>
        <v>45450</v>
      </c>
      <c r="J62" s="265">
        <f t="shared" si="35"/>
        <v>45451</v>
      </c>
      <c r="K62" s="265">
        <f t="shared" si="35"/>
        <v>45452</v>
      </c>
      <c r="L62" s="265">
        <f t="shared" si="35"/>
        <v>45453</v>
      </c>
      <c r="M62" s="265">
        <f t="shared" si="35"/>
        <v>45454</v>
      </c>
      <c r="N62" s="265">
        <f t="shared" si="35"/>
        <v>45455</v>
      </c>
      <c r="O62" s="265">
        <f t="shared" si="35"/>
        <v>45456</v>
      </c>
      <c r="P62" s="265">
        <f t="shared" si="35"/>
        <v>45457</v>
      </c>
      <c r="Q62" s="265">
        <f t="shared" si="35"/>
        <v>45458</v>
      </c>
      <c r="R62" s="265">
        <f t="shared" si="35"/>
        <v>45459</v>
      </c>
      <c r="S62" s="265">
        <f t="shared" si="35"/>
        <v>45460</v>
      </c>
      <c r="T62" s="265">
        <f t="shared" si="35"/>
        <v>45461</v>
      </c>
      <c r="U62" s="265">
        <f t="shared" si="35"/>
        <v>45462</v>
      </c>
      <c r="V62" s="265">
        <f t="shared" si="35"/>
        <v>45463</v>
      </c>
      <c r="W62" s="265">
        <f t="shared" si="35"/>
        <v>45464</v>
      </c>
      <c r="X62" s="265">
        <f t="shared" si="35"/>
        <v>45465</v>
      </c>
      <c r="Y62" s="265">
        <f t="shared" si="35"/>
        <v>45466</v>
      </c>
      <c r="Z62" s="265">
        <f t="shared" si="35"/>
        <v>45467</v>
      </c>
      <c r="AA62" s="265">
        <f t="shared" si="35"/>
        <v>45468</v>
      </c>
      <c r="AB62" s="265">
        <f t="shared" si="35"/>
        <v>45469</v>
      </c>
      <c r="AC62" s="265">
        <f t="shared" si="35"/>
        <v>45470</v>
      </c>
      <c r="AD62" s="265">
        <f t="shared" si="35"/>
        <v>45471</v>
      </c>
      <c r="AE62" s="265">
        <f t="shared" si="35"/>
        <v>45472</v>
      </c>
      <c r="AF62" s="265">
        <f t="shared" si="35"/>
        <v>45473</v>
      </c>
      <c r="AG62" s="265">
        <f t="shared" si="35"/>
        <v>45474</v>
      </c>
    </row>
    <row r="63" spans="1:33">
      <c r="A63" s="256" t="s">
        <v>884</v>
      </c>
      <c r="B63" s="22">
        <f>SUM(C63:AG63)</f>
        <v>0</v>
      </c>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row>
    <row r="64" spans="1:33">
      <c r="A64" s="256" t="s">
        <v>885</v>
      </c>
      <c r="B64" s="22">
        <f>SUM(C64:AG64)</f>
        <v>0</v>
      </c>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row>
    <row r="65" spans="1:33">
      <c r="A65" s="263" t="s">
        <v>9</v>
      </c>
      <c r="B65" s="266">
        <f t="shared" ref="B65:AG65" si="36">SUM(B63:B64)</f>
        <v>0</v>
      </c>
      <c r="C65" s="266">
        <f t="shared" si="36"/>
        <v>0</v>
      </c>
      <c r="D65" s="266">
        <f t="shared" si="36"/>
        <v>0</v>
      </c>
      <c r="E65" s="266">
        <f t="shared" si="36"/>
        <v>0</v>
      </c>
      <c r="F65" s="266">
        <f t="shared" si="36"/>
        <v>0</v>
      </c>
      <c r="G65" s="266">
        <f t="shared" si="36"/>
        <v>0</v>
      </c>
      <c r="H65" s="266">
        <f t="shared" si="36"/>
        <v>0</v>
      </c>
      <c r="I65" s="266">
        <f t="shared" si="36"/>
        <v>0</v>
      </c>
      <c r="J65" s="266">
        <f t="shared" si="36"/>
        <v>0</v>
      </c>
      <c r="K65" s="266">
        <f t="shared" si="36"/>
        <v>0</v>
      </c>
      <c r="L65" s="266">
        <f t="shared" si="36"/>
        <v>0</v>
      </c>
      <c r="M65" s="266">
        <f t="shared" si="36"/>
        <v>0</v>
      </c>
      <c r="N65" s="266">
        <f t="shared" si="36"/>
        <v>0</v>
      </c>
      <c r="O65" s="266">
        <f t="shared" si="36"/>
        <v>0</v>
      </c>
      <c r="P65" s="266">
        <f t="shared" si="36"/>
        <v>0</v>
      </c>
      <c r="Q65" s="266">
        <f t="shared" si="36"/>
        <v>0</v>
      </c>
      <c r="R65" s="266">
        <f t="shared" si="36"/>
        <v>0</v>
      </c>
      <c r="S65" s="266">
        <f t="shared" si="36"/>
        <v>0</v>
      </c>
      <c r="T65" s="266">
        <f t="shared" si="36"/>
        <v>0</v>
      </c>
      <c r="U65" s="266">
        <f t="shared" si="36"/>
        <v>0</v>
      </c>
      <c r="V65" s="266">
        <f t="shared" si="36"/>
        <v>0</v>
      </c>
      <c r="W65" s="266">
        <f t="shared" si="36"/>
        <v>0</v>
      </c>
      <c r="X65" s="266">
        <f t="shared" si="36"/>
        <v>0</v>
      </c>
      <c r="Y65" s="266">
        <f t="shared" si="36"/>
        <v>0</v>
      </c>
      <c r="Z65" s="266">
        <f t="shared" si="36"/>
        <v>0</v>
      </c>
      <c r="AA65" s="266">
        <f t="shared" si="36"/>
        <v>0</v>
      </c>
      <c r="AB65" s="266">
        <f t="shared" si="36"/>
        <v>0</v>
      </c>
      <c r="AC65" s="266">
        <f t="shared" si="36"/>
        <v>0</v>
      </c>
      <c r="AD65" s="266">
        <f t="shared" si="36"/>
        <v>0</v>
      </c>
      <c r="AE65" s="266">
        <f t="shared" si="36"/>
        <v>0</v>
      </c>
      <c r="AF65" s="266">
        <f t="shared" si="36"/>
        <v>0</v>
      </c>
      <c r="AG65" s="266">
        <f t="shared" si="36"/>
        <v>0</v>
      </c>
    </row>
    <row r="66" spans="1:33" ht="15.75">
      <c r="A66" s="403" t="s">
        <v>886</v>
      </c>
      <c r="B66" s="403"/>
      <c r="C66" s="403"/>
      <c r="D66" s="403"/>
      <c r="E66" s="403"/>
      <c r="F66" s="403"/>
      <c r="G66" s="403"/>
      <c r="H66" s="403"/>
      <c r="I66" s="403"/>
      <c r="J66" s="403"/>
      <c r="K66" s="403"/>
      <c r="L66" s="403"/>
      <c r="M66" s="403"/>
      <c r="N66" s="403"/>
      <c r="O66" s="403"/>
      <c r="P66" s="403"/>
      <c r="Q66" s="403"/>
      <c r="R66" s="403"/>
      <c r="S66" s="403"/>
      <c r="T66" s="403"/>
      <c r="U66" s="403"/>
      <c r="V66" s="403"/>
      <c r="W66" s="403"/>
      <c r="X66" s="403"/>
      <c r="Y66" s="403"/>
      <c r="Z66" s="403"/>
      <c r="AA66" s="403"/>
      <c r="AB66" s="403"/>
      <c r="AC66" s="403"/>
      <c r="AD66" s="403"/>
      <c r="AE66" s="403"/>
      <c r="AF66" s="403"/>
      <c r="AG66" s="403"/>
    </row>
    <row r="67" spans="1:33">
      <c r="A67" s="263" t="s">
        <v>887</v>
      </c>
      <c r="B67" s="264" t="s">
        <v>13</v>
      </c>
      <c r="C67" s="265">
        <f>$C$5</f>
        <v>45444</v>
      </c>
      <c r="D67" s="265">
        <f>C67+1</f>
        <v>45445</v>
      </c>
      <c r="E67" s="265">
        <f t="shared" ref="E67:AG67" si="37">D67+1</f>
        <v>45446</v>
      </c>
      <c r="F67" s="265">
        <f t="shared" si="37"/>
        <v>45447</v>
      </c>
      <c r="G67" s="265">
        <f t="shared" si="37"/>
        <v>45448</v>
      </c>
      <c r="H67" s="265">
        <f t="shared" si="37"/>
        <v>45449</v>
      </c>
      <c r="I67" s="265">
        <f t="shared" si="37"/>
        <v>45450</v>
      </c>
      <c r="J67" s="265">
        <f t="shared" si="37"/>
        <v>45451</v>
      </c>
      <c r="K67" s="265">
        <f t="shared" si="37"/>
        <v>45452</v>
      </c>
      <c r="L67" s="265">
        <f t="shared" si="37"/>
        <v>45453</v>
      </c>
      <c r="M67" s="265">
        <f t="shared" si="37"/>
        <v>45454</v>
      </c>
      <c r="N67" s="265">
        <f t="shared" si="37"/>
        <v>45455</v>
      </c>
      <c r="O67" s="265">
        <f t="shared" si="37"/>
        <v>45456</v>
      </c>
      <c r="P67" s="265">
        <f t="shared" si="37"/>
        <v>45457</v>
      </c>
      <c r="Q67" s="265">
        <f t="shared" si="37"/>
        <v>45458</v>
      </c>
      <c r="R67" s="265">
        <f t="shared" si="37"/>
        <v>45459</v>
      </c>
      <c r="S67" s="265">
        <f t="shared" si="37"/>
        <v>45460</v>
      </c>
      <c r="T67" s="265">
        <f t="shared" si="37"/>
        <v>45461</v>
      </c>
      <c r="U67" s="265">
        <f t="shared" si="37"/>
        <v>45462</v>
      </c>
      <c r="V67" s="265">
        <f t="shared" si="37"/>
        <v>45463</v>
      </c>
      <c r="W67" s="265">
        <f t="shared" si="37"/>
        <v>45464</v>
      </c>
      <c r="X67" s="265">
        <f t="shared" si="37"/>
        <v>45465</v>
      </c>
      <c r="Y67" s="265">
        <f t="shared" si="37"/>
        <v>45466</v>
      </c>
      <c r="Z67" s="265">
        <f t="shared" si="37"/>
        <v>45467</v>
      </c>
      <c r="AA67" s="265">
        <f t="shared" si="37"/>
        <v>45468</v>
      </c>
      <c r="AB67" s="265">
        <f t="shared" si="37"/>
        <v>45469</v>
      </c>
      <c r="AC67" s="265">
        <f t="shared" si="37"/>
        <v>45470</v>
      </c>
      <c r="AD67" s="265">
        <f t="shared" si="37"/>
        <v>45471</v>
      </c>
      <c r="AE67" s="265">
        <f t="shared" si="37"/>
        <v>45472</v>
      </c>
      <c r="AF67" s="265">
        <f t="shared" si="37"/>
        <v>45473</v>
      </c>
      <c r="AG67" s="265">
        <f t="shared" si="37"/>
        <v>45474</v>
      </c>
    </row>
    <row r="68" spans="1:33">
      <c r="A68" s="12" t="s">
        <v>888</v>
      </c>
      <c r="B68" s="22">
        <f>SUM(C68:AF68)</f>
        <v>434</v>
      </c>
      <c r="C68" s="22">
        <f t="shared" ref="C68:AG68" si="38">C54</f>
        <v>0</v>
      </c>
      <c r="D68" s="22">
        <f t="shared" si="38"/>
        <v>0</v>
      </c>
      <c r="E68" s="22">
        <f t="shared" si="38"/>
        <v>0</v>
      </c>
      <c r="F68" s="22">
        <f t="shared" si="38"/>
        <v>0</v>
      </c>
      <c r="G68" s="22">
        <f t="shared" si="38"/>
        <v>0</v>
      </c>
      <c r="H68" s="22">
        <f t="shared" si="38"/>
        <v>0</v>
      </c>
      <c r="I68" s="22">
        <f t="shared" si="38"/>
        <v>0</v>
      </c>
      <c r="J68" s="22">
        <f t="shared" si="38"/>
        <v>0</v>
      </c>
      <c r="K68" s="22">
        <f t="shared" si="38"/>
        <v>0</v>
      </c>
      <c r="L68" s="22">
        <f t="shared" si="38"/>
        <v>0</v>
      </c>
      <c r="M68" s="22">
        <f t="shared" si="38"/>
        <v>0</v>
      </c>
      <c r="N68" s="22">
        <f t="shared" si="38"/>
        <v>0</v>
      </c>
      <c r="O68" s="22">
        <f t="shared" si="38"/>
        <v>9</v>
      </c>
      <c r="P68" s="22">
        <f t="shared" si="38"/>
        <v>55</v>
      </c>
      <c r="Q68" s="22">
        <f t="shared" si="38"/>
        <v>0</v>
      </c>
      <c r="R68" s="22">
        <f t="shared" si="38"/>
        <v>0</v>
      </c>
      <c r="S68" s="22">
        <f t="shared" si="38"/>
        <v>46</v>
      </c>
      <c r="T68" s="22">
        <f t="shared" si="38"/>
        <v>45</v>
      </c>
      <c r="U68" s="22">
        <f t="shared" si="38"/>
        <v>16</v>
      </c>
      <c r="V68" s="22">
        <f t="shared" si="38"/>
        <v>22</v>
      </c>
      <c r="W68" s="22">
        <f t="shared" si="38"/>
        <v>22</v>
      </c>
      <c r="X68" s="22">
        <f t="shared" si="38"/>
        <v>0</v>
      </c>
      <c r="Y68" s="22">
        <f t="shared" si="38"/>
        <v>0</v>
      </c>
      <c r="Z68" s="22">
        <f t="shared" si="38"/>
        <v>73</v>
      </c>
      <c r="AA68" s="22">
        <f t="shared" si="38"/>
        <v>49</v>
      </c>
      <c r="AB68" s="22">
        <f t="shared" si="38"/>
        <v>26</v>
      </c>
      <c r="AC68" s="22">
        <f t="shared" si="38"/>
        <v>45</v>
      </c>
      <c r="AD68" s="22">
        <f t="shared" si="38"/>
        <v>26</v>
      </c>
      <c r="AE68" s="22">
        <f t="shared" si="38"/>
        <v>0</v>
      </c>
      <c r="AF68" s="22">
        <f t="shared" si="38"/>
        <v>0</v>
      </c>
      <c r="AG68" s="22">
        <f t="shared" si="38"/>
        <v>0</v>
      </c>
    </row>
    <row r="69" spans="1:33">
      <c r="A69" s="12" t="s">
        <v>889</v>
      </c>
      <c r="B69" s="22">
        <f>SUM(C69:AF69)</f>
        <v>0</v>
      </c>
      <c r="C69" s="267">
        <f t="shared" ref="C69:AG69" si="39">C60</f>
        <v>0</v>
      </c>
      <c r="D69" s="267">
        <f t="shared" si="39"/>
        <v>0</v>
      </c>
      <c r="E69" s="267">
        <f t="shared" si="39"/>
        <v>0</v>
      </c>
      <c r="F69" s="267">
        <f t="shared" si="39"/>
        <v>0</v>
      </c>
      <c r="G69" s="267">
        <f t="shared" si="39"/>
        <v>0</v>
      </c>
      <c r="H69" s="267">
        <f t="shared" si="39"/>
        <v>0</v>
      </c>
      <c r="I69" s="267">
        <f t="shared" si="39"/>
        <v>0</v>
      </c>
      <c r="J69" s="267">
        <f t="shared" si="39"/>
        <v>0</v>
      </c>
      <c r="K69" s="267">
        <f t="shared" si="39"/>
        <v>0</v>
      </c>
      <c r="L69" s="267">
        <f t="shared" si="39"/>
        <v>0</v>
      </c>
      <c r="M69" s="267">
        <f t="shared" si="39"/>
        <v>0</v>
      </c>
      <c r="N69" s="267">
        <f t="shared" si="39"/>
        <v>0</v>
      </c>
      <c r="O69" s="267">
        <f t="shared" si="39"/>
        <v>0</v>
      </c>
      <c r="P69" s="267">
        <f t="shared" si="39"/>
        <v>0</v>
      </c>
      <c r="Q69" s="267">
        <f t="shared" si="39"/>
        <v>0</v>
      </c>
      <c r="R69" s="267">
        <f t="shared" si="39"/>
        <v>0</v>
      </c>
      <c r="S69" s="267">
        <f t="shared" si="39"/>
        <v>0</v>
      </c>
      <c r="T69" s="267">
        <f t="shared" si="39"/>
        <v>0</v>
      </c>
      <c r="U69" s="267">
        <f t="shared" si="39"/>
        <v>0</v>
      </c>
      <c r="V69" s="267">
        <f t="shared" si="39"/>
        <v>0</v>
      </c>
      <c r="W69" s="267">
        <f t="shared" si="39"/>
        <v>0</v>
      </c>
      <c r="X69" s="267">
        <f t="shared" si="39"/>
        <v>0</v>
      </c>
      <c r="Y69" s="267">
        <f t="shared" si="39"/>
        <v>0</v>
      </c>
      <c r="Z69" s="267">
        <f t="shared" si="39"/>
        <v>0</v>
      </c>
      <c r="AA69" s="267">
        <f t="shared" si="39"/>
        <v>0</v>
      </c>
      <c r="AB69" s="267">
        <f t="shared" si="39"/>
        <v>0</v>
      </c>
      <c r="AC69" s="267">
        <f t="shared" si="39"/>
        <v>0</v>
      </c>
      <c r="AD69" s="267">
        <f t="shared" si="39"/>
        <v>0</v>
      </c>
      <c r="AE69" s="267">
        <f t="shared" si="39"/>
        <v>0</v>
      </c>
      <c r="AF69" s="267">
        <f t="shared" si="39"/>
        <v>0</v>
      </c>
      <c r="AG69" s="267">
        <f t="shared" si="39"/>
        <v>0</v>
      </c>
    </row>
    <row r="70" spans="1:33">
      <c r="A70" s="12" t="s">
        <v>890</v>
      </c>
      <c r="B70" s="22">
        <f>SUM(C70:AF70)</f>
        <v>0</v>
      </c>
      <c r="C70" s="267">
        <f>C65</f>
        <v>0</v>
      </c>
      <c r="D70" s="267">
        <f t="shared" ref="D70:AG70" si="40">D65</f>
        <v>0</v>
      </c>
      <c r="E70" s="267">
        <f t="shared" si="40"/>
        <v>0</v>
      </c>
      <c r="F70" s="267">
        <f t="shared" si="40"/>
        <v>0</v>
      </c>
      <c r="G70" s="267">
        <f t="shared" si="40"/>
        <v>0</v>
      </c>
      <c r="H70" s="267">
        <f t="shared" si="40"/>
        <v>0</v>
      </c>
      <c r="I70" s="267">
        <f t="shared" si="40"/>
        <v>0</v>
      </c>
      <c r="J70" s="267">
        <f t="shared" si="40"/>
        <v>0</v>
      </c>
      <c r="K70" s="267">
        <f t="shared" si="40"/>
        <v>0</v>
      </c>
      <c r="L70" s="267">
        <f t="shared" si="40"/>
        <v>0</v>
      </c>
      <c r="M70" s="267">
        <f t="shared" si="40"/>
        <v>0</v>
      </c>
      <c r="N70" s="267">
        <f t="shared" si="40"/>
        <v>0</v>
      </c>
      <c r="O70" s="267">
        <f t="shared" si="40"/>
        <v>0</v>
      </c>
      <c r="P70" s="267">
        <f t="shared" si="40"/>
        <v>0</v>
      </c>
      <c r="Q70" s="267">
        <f t="shared" si="40"/>
        <v>0</v>
      </c>
      <c r="R70" s="267">
        <f t="shared" si="40"/>
        <v>0</v>
      </c>
      <c r="S70" s="267">
        <f t="shared" si="40"/>
        <v>0</v>
      </c>
      <c r="T70" s="267">
        <f t="shared" si="40"/>
        <v>0</v>
      </c>
      <c r="U70" s="267">
        <f t="shared" si="40"/>
        <v>0</v>
      </c>
      <c r="V70" s="267">
        <f t="shared" si="40"/>
        <v>0</v>
      </c>
      <c r="W70" s="267">
        <f t="shared" si="40"/>
        <v>0</v>
      </c>
      <c r="X70" s="267">
        <f t="shared" si="40"/>
        <v>0</v>
      </c>
      <c r="Y70" s="267">
        <f t="shared" si="40"/>
        <v>0</v>
      </c>
      <c r="Z70" s="267">
        <f t="shared" si="40"/>
        <v>0</v>
      </c>
      <c r="AA70" s="267">
        <f t="shared" si="40"/>
        <v>0</v>
      </c>
      <c r="AB70" s="267">
        <f t="shared" si="40"/>
        <v>0</v>
      </c>
      <c r="AC70" s="267">
        <f t="shared" si="40"/>
        <v>0</v>
      </c>
      <c r="AD70" s="267">
        <f t="shared" si="40"/>
        <v>0</v>
      </c>
      <c r="AE70" s="267">
        <f t="shared" si="40"/>
        <v>0</v>
      </c>
      <c r="AF70" s="267">
        <f t="shared" si="40"/>
        <v>0</v>
      </c>
      <c r="AG70" s="267">
        <f t="shared" si="40"/>
        <v>0</v>
      </c>
    </row>
    <row r="71" spans="1:33">
      <c r="A71" s="263" t="s">
        <v>417</v>
      </c>
      <c r="B71" s="268">
        <f>IFERROR((B68-B70)/B68,"")</f>
        <v>1</v>
      </c>
      <c r="C71" s="268" t="str">
        <f>IFERROR((C68-C70)/C68,"")</f>
        <v/>
      </c>
      <c r="D71" s="268" t="str">
        <f t="shared" ref="D71:AG71" si="41">IFERROR((D68-D70)/D68,"")</f>
        <v/>
      </c>
      <c r="E71" s="268" t="str">
        <f t="shared" si="41"/>
        <v/>
      </c>
      <c r="F71" s="268" t="str">
        <f t="shared" si="41"/>
        <v/>
      </c>
      <c r="G71" s="268" t="str">
        <f t="shared" si="41"/>
        <v/>
      </c>
      <c r="H71" s="268" t="str">
        <f t="shared" si="41"/>
        <v/>
      </c>
      <c r="I71" s="268" t="str">
        <f t="shared" si="41"/>
        <v/>
      </c>
      <c r="J71" s="268" t="str">
        <f t="shared" si="41"/>
        <v/>
      </c>
      <c r="K71" s="268" t="str">
        <f t="shared" si="41"/>
        <v/>
      </c>
      <c r="L71" s="268" t="str">
        <f t="shared" si="41"/>
        <v/>
      </c>
      <c r="M71" s="268" t="str">
        <f t="shared" si="41"/>
        <v/>
      </c>
      <c r="N71" s="268" t="str">
        <f t="shared" si="41"/>
        <v/>
      </c>
      <c r="O71" s="268">
        <f t="shared" si="41"/>
        <v>1</v>
      </c>
      <c r="P71" s="268">
        <f t="shared" si="41"/>
        <v>1</v>
      </c>
      <c r="Q71" s="268" t="str">
        <f t="shared" si="41"/>
        <v/>
      </c>
      <c r="R71" s="268" t="str">
        <f t="shared" si="41"/>
        <v/>
      </c>
      <c r="S71" s="268">
        <f t="shared" si="41"/>
        <v>1</v>
      </c>
      <c r="T71" s="268">
        <f t="shared" si="41"/>
        <v>1</v>
      </c>
      <c r="U71" s="268">
        <f t="shared" si="41"/>
        <v>1</v>
      </c>
      <c r="V71" s="268">
        <f t="shared" si="41"/>
        <v>1</v>
      </c>
      <c r="W71" s="268">
        <f t="shared" si="41"/>
        <v>1</v>
      </c>
      <c r="X71" s="268" t="str">
        <f t="shared" si="41"/>
        <v/>
      </c>
      <c r="Y71" s="268" t="str">
        <f t="shared" si="41"/>
        <v/>
      </c>
      <c r="Z71" s="268">
        <f t="shared" si="41"/>
        <v>1</v>
      </c>
      <c r="AA71" s="268">
        <f t="shared" si="41"/>
        <v>1</v>
      </c>
      <c r="AB71" s="268">
        <f t="shared" si="41"/>
        <v>1</v>
      </c>
      <c r="AC71" s="268">
        <f t="shared" si="41"/>
        <v>1</v>
      </c>
      <c r="AD71" s="268">
        <f t="shared" si="41"/>
        <v>1</v>
      </c>
      <c r="AE71" s="268" t="str">
        <f t="shared" si="41"/>
        <v/>
      </c>
      <c r="AF71" s="268" t="str">
        <f t="shared" si="41"/>
        <v/>
      </c>
      <c r="AG71" s="268" t="str">
        <f t="shared" si="41"/>
        <v/>
      </c>
    </row>
  </sheetData>
  <mergeCells count="17">
    <mergeCell ref="A49:AG49"/>
    <mergeCell ref="A50:AG50"/>
    <mergeCell ref="A55:AG55"/>
    <mergeCell ref="A61:AG61"/>
    <mergeCell ref="A66:AG66"/>
    <mergeCell ref="A42:AG42"/>
    <mergeCell ref="A1:AG1"/>
    <mergeCell ref="A3:AG3"/>
    <mergeCell ref="A4:AG4"/>
    <mergeCell ref="A9:AG9"/>
    <mergeCell ref="A13:AG13"/>
    <mergeCell ref="A18:AG18"/>
    <mergeCell ref="A25:AG25"/>
    <mergeCell ref="A27:AG27"/>
    <mergeCell ref="A28:AG28"/>
    <mergeCell ref="A33:AG33"/>
    <mergeCell ref="A37:AG3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2024</vt:lpstr>
      <vt:lpstr>SM</vt:lpstr>
      <vt:lpstr>SLA</vt:lpstr>
      <vt:lpstr>SLA 23</vt:lpstr>
      <vt:lpstr>SM 2023</vt:lpstr>
      <vt:lpstr> GA Trend</vt:lpstr>
      <vt:lpstr>2023</vt:lpstr>
      <vt:lpstr>AP Charts</vt:lpstr>
      <vt:lpstr>Lot Wash</vt:lpstr>
      <vt:lpstr>Silver Rock</vt:lpstr>
      <vt:lpstr>AP</vt:lpstr>
      <vt:lpstr>RC Audit</vt:lpstr>
      <vt:lpstr>AR</vt:lpstr>
      <vt:lpstr>PR</vt:lpstr>
      <vt:lpstr>Phone Support</vt:lpstr>
      <vt:lpstr>GA</vt:lpstr>
      <vt:lpstr>Cash Balancing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Ganesh P Acharya</dc:creator>
  <cp:lastModifiedBy>Ganesh P Acharya</cp:lastModifiedBy>
  <dcterms:created xsi:type="dcterms:W3CDTF">2015-06-05T18:17:20Z</dcterms:created>
  <dcterms:modified xsi:type="dcterms:W3CDTF">2024-07-25T15:54:58Z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